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PRESUPUESTO/2 0 2 5/EJECUCION PRESUPUESTARIA/"/>
    </mc:Choice>
  </mc:AlternateContent>
  <xr:revisionPtr revIDLastSave="663" documentId="13_ncr:1_{FE18A31B-3DFD-4916-81CB-5BD9F5C2D9E3}" xr6:coauthVersionLast="47" xr6:coauthVersionMax="47" xr10:uidLastSave="{539BC49D-FB55-4D24-9D2D-2DF4B5C703B9}"/>
  <bookViews>
    <workbookView xWindow="-120" yWindow="-120" windowWidth="29040" windowHeight="16440" tabRatio="713" xr2:uid="{00000000-000D-0000-FFFF-FFFF00000000}"/>
  </bookViews>
  <sheets>
    <sheet name="Ejecución abril 2025" sheetId="4" r:id="rId1"/>
  </sheets>
  <definedNames>
    <definedName name="_xlnm.Print_Area" localSheetId="0">'Ejecución abril 2025'!$A$1:$P$99</definedName>
    <definedName name="_xlnm.Print_Titles" localSheetId="0">'Ejecución abril 2025'!$6:$7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4" l="1"/>
  <c r="G36" i="4" s="1"/>
  <c r="F53" i="4"/>
  <c r="G53" i="4" s="1"/>
  <c r="F52" i="4"/>
  <c r="G52" i="4" s="1"/>
  <c r="F30" i="4"/>
  <c r="G30" i="4" s="1"/>
  <c r="F28" i="4"/>
  <c r="G28" i="4" s="1"/>
  <c r="F60" i="4"/>
  <c r="G60" i="4" s="1"/>
  <c r="F59" i="4"/>
  <c r="G59" i="4" s="1"/>
  <c r="F58" i="4"/>
  <c r="G58" i="4" s="1"/>
  <c r="F57" i="4"/>
  <c r="G57" i="4" s="1"/>
  <c r="F56" i="4"/>
  <c r="G56" i="4" s="1"/>
  <c r="F55" i="4"/>
  <c r="G55" i="4" s="1"/>
  <c r="F54" i="4"/>
  <c r="G54" i="4" s="1"/>
  <c r="F34" i="4"/>
  <c r="G34" i="4" s="1"/>
  <c r="F33" i="4"/>
  <c r="G33" i="4" s="1"/>
  <c r="F31" i="4"/>
  <c r="G31" i="4" s="1"/>
  <c r="F29" i="4"/>
  <c r="G29" i="4" s="1"/>
  <c r="F27" i="4"/>
  <c r="G27" i="4" s="1"/>
  <c r="C25" i="4"/>
  <c r="E16" i="4"/>
  <c r="F16" i="4" s="1"/>
  <c r="E10" i="4"/>
  <c r="E32" i="4"/>
  <c r="E26" i="4"/>
  <c r="F26" i="4" s="1"/>
  <c r="E20" i="4"/>
  <c r="E18" i="4"/>
  <c r="F18" i="4" s="1"/>
  <c r="E21" i="4"/>
  <c r="F21" i="4" s="1"/>
  <c r="E14" i="4"/>
  <c r="F14" i="4" s="1"/>
  <c r="E11" i="4"/>
  <c r="E19" i="4"/>
  <c r="E24" i="4"/>
  <c r="E23" i="4"/>
  <c r="F23" i="4" s="1"/>
  <c r="E22" i="4"/>
  <c r="F22" i="4" s="1"/>
  <c r="E17" i="4"/>
  <c r="F17" i="4" s="1"/>
  <c r="E12" i="4"/>
  <c r="F12" i="4" s="1"/>
  <c r="E13" i="4"/>
  <c r="F13" i="4" s="1"/>
  <c r="F20" i="4" l="1"/>
  <c r="G20" i="4" s="1"/>
  <c r="F24" i="4"/>
  <c r="G24" i="4" s="1"/>
  <c r="G13" i="4"/>
  <c r="G12" i="4"/>
  <c r="P12" i="4" s="1"/>
  <c r="G16" i="4"/>
  <c r="G23" i="4"/>
  <c r="G17" i="4"/>
  <c r="G22" i="4"/>
  <c r="G14" i="4"/>
  <c r="F19" i="4"/>
  <c r="G19" i="4" s="1"/>
  <c r="G26" i="4"/>
  <c r="G21" i="4"/>
  <c r="F10" i="4"/>
  <c r="G10" i="4" s="1"/>
  <c r="G18" i="4"/>
  <c r="F11" i="4"/>
  <c r="G11" i="4" s="1"/>
  <c r="F32" i="4"/>
  <c r="G32" i="4" s="1"/>
  <c r="N44" i="4"/>
  <c r="N45" i="4"/>
  <c r="N46" i="4"/>
  <c r="N47" i="4"/>
  <c r="N48" i="4"/>
  <c r="N49" i="4"/>
  <c r="N50" i="4"/>
  <c r="N71" i="4"/>
  <c r="N72" i="4"/>
  <c r="N70" i="4"/>
  <c r="N68" i="4"/>
  <c r="N67" i="4"/>
  <c r="N37" i="4"/>
  <c r="O37" i="4" s="1"/>
  <c r="N38" i="4"/>
  <c r="N39" i="4"/>
  <c r="N40" i="4"/>
  <c r="N41" i="4"/>
  <c r="N42" i="4"/>
  <c r="N51" i="4" l="1"/>
  <c r="H61" i="4" l="1"/>
  <c r="G61" i="4"/>
  <c r="M61" i="4"/>
  <c r="F61" i="4"/>
  <c r="I61" i="4" l="1"/>
  <c r="L15" i="4"/>
  <c r="E69" i="4"/>
  <c r="E66" i="4"/>
  <c r="E61" i="4"/>
  <c r="E51" i="4"/>
  <c r="E43" i="4"/>
  <c r="E35" i="4"/>
  <c r="E25" i="4"/>
  <c r="P60" i="4"/>
  <c r="P39" i="4"/>
  <c r="L35" i="4"/>
  <c r="D35" i="4"/>
  <c r="C35" i="4"/>
  <c r="B35" i="4"/>
  <c r="E9" i="4"/>
  <c r="E82" i="4"/>
  <c r="E79" i="4"/>
  <c r="E76" i="4"/>
  <c r="O82" i="4"/>
  <c r="N82" i="4"/>
  <c r="M82" i="4"/>
  <c r="L82" i="4"/>
  <c r="K82" i="4"/>
  <c r="J82" i="4"/>
  <c r="I82" i="4"/>
  <c r="H82" i="4"/>
  <c r="G82" i="4"/>
  <c r="F82" i="4"/>
  <c r="D82" i="4"/>
  <c r="C82" i="4"/>
  <c r="O79" i="4"/>
  <c r="N79" i="4"/>
  <c r="M79" i="4"/>
  <c r="L79" i="4"/>
  <c r="K79" i="4"/>
  <c r="J79" i="4"/>
  <c r="I79" i="4"/>
  <c r="H79" i="4"/>
  <c r="G79" i="4"/>
  <c r="F79" i="4"/>
  <c r="D79" i="4"/>
  <c r="C79" i="4"/>
  <c r="B82" i="4"/>
  <c r="B79" i="4"/>
  <c r="O76" i="4"/>
  <c r="N76" i="4"/>
  <c r="M76" i="4"/>
  <c r="L76" i="4"/>
  <c r="K76" i="4"/>
  <c r="J76" i="4"/>
  <c r="I76" i="4"/>
  <c r="H76" i="4"/>
  <c r="G76" i="4"/>
  <c r="F76" i="4"/>
  <c r="D76" i="4"/>
  <c r="C76" i="4"/>
  <c r="B76" i="4"/>
  <c r="O9" i="4"/>
  <c r="N9" i="4"/>
  <c r="M9" i="4"/>
  <c r="L9" i="4"/>
  <c r="I9" i="4"/>
  <c r="H9" i="4"/>
  <c r="O15" i="4"/>
  <c r="N15" i="4"/>
  <c r="M15" i="4"/>
  <c r="K15" i="4"/>
  <c r="J15" i="4"/>
  <c r="I15" i="4"/>
  <c r="H15" i="4"/>
  <c r="O25" i="4"/>
  <c r="N25" i="4"/>
  <c r="M25" i="4"/>
  <c r="L25" i="4"/>
  <c r="K25" i="4"/>
  <c r="J25" i="4"/>
  <c r="I25" i="4"/>
  <c r="H25" i="4"/>
  <c r="F35" i="4"/>
  <c r="O51" i="4"/>
  <c r="M51" i="4"/>
  <c r="L51" i="4"/>
  <c r="K51" i="4"/>
  <c r="J51" i="4"/>
  <c r="I51" i="4"/>
  <c r="H51" i="4"/>
  <c r="O69" i="4"/>
  <c r="N69" i="4"/>
  <c r="M69" i="4"/>
  <c r="L69" i="4"/>
  <c r="K69" i="4"/>
  <c r="J69" i="4"/>
  <c r="I69" i="4"/>
  <c r="H69" i="4"/>
  <c r="G69" i="4"/>
  <c r="F69" i="4"/>
  <c r="D69" i="4"/>
  <c r="C69" i="4"/>
  <c r="B69" i="4"/>
  <c r="O66" i="4"/>
  <c r="N66" i="4"/>
  <c r="M66" i="4"/>
  <c r="L66" i="4"/>
  <c r="K66" i="4"/>
  <c r="J66" i="4"/>
  <c r="I66" i="4"/>
  <c r="H66" i="4"/>
  <c r="G66" i="4"/>
  <c r="F66" i="4"/>
  <c r="D66" i="4"/>
  <c r="C66" i="4"/>
  <c r="B66" i="4"/>
  <c r="D61" i="4"/>
  <c r="C61" i="4"/>
  <c r="B61" i="4"/>
  <c r="O43" i="4"/>
  <c r="N43" i="4"/>
  <c r="M43" i="4"/>
  <c r="L43" i="4"/>
  <c r="K43" i="4"/>
  <c r="J43" i="4"/>
  <c r="I43" i="4"/>
  <c r="H43" i="4"/>
  <c r="G43" i="4"/>
  <c r="F43" i="4"/>
  <c r="D43" i="4"/>
  <c r="C43" i="4"/>
  <c r="B43" i="4"/>
  <c r="G35" i="4" l="1"/>
  <c r="H35" i="4"/>
  <c r="H73" i="4" s="1"/>
  <c r="K9" i="4"/>
  <c r="J9" i="4"/>
  <c r="P14" i="4"/>
  <c r="G51" i="4"/>
  <c r="G25" i="4"/>
  <c r="G15" i="4"/>
  <c r="G9" i="4"/>
  <c r="E15" i="4"/>
  <c r="I75" i="4"/>
  <c r="M84" i="4"/>
  <c r="F51" i="4"/>
  <c r="F25" i="4"/>
  <c r="F15" i="4"/>
  <c r="C84" i="4"/>
  <c r="O75" i="4"/>
  <c r="G84" i="4"/>
  <c r="O84" i="4"/>
  <c r="C75" i="4"/>
  <c r="J75" i="4"/>
  <c r="G75" i="4"/>
  <c r="K84" i="4"/>
  <c r="I84" i="4"/>
  <c r="M75" i="4"/>
  <c r="K75" i="4"/>
  <c r="E84" i="4"/>
  <c r="E75" i="4"/>
  <c r="F75" i="4"/>
  <c r="J84" i="4"/>
  <c r="N84" i="4"/>
  <c r="D84" i="4"/>
  <c r="H84" i="4"/>
  <c r="L84" i="4"/>
  <c r="N75" i="4"/>
  <c r="D75" i="4"/>
  <c r="H75" i="4"/>
  <c r="L75" i="4"/>
  <c r="F84" i="4"/>
  <c r="I35" i="4" l="1"/>
  <c r="J61" i="4"/>
  <c r="K61" i="4"/>
  <c r="P10" i="4"/>
  <c r="G73" i="4"/>
  <c r="G86" i="4" s="1"/>
  <c r="F9" i="4"/>
  <c r="F73" i="4" s="1"/>
  <c r="F86" i="4" s="1"/>
  <c r="H8" i="4"/>
  <c r="H86" i="4"/>
  <c r="E73" i="4"/>
  <c r="P84" i="4"/>
  <c r="P83" i="4"/>
  <c r="P82" i="4"/>
  <c r="P81" i="4"/>
  <c r="P80" i="4"/>
  <c r="P79" i="4"/>
  <c r="P78" i="4"/>
  <c r="P77" i="4"/>
  <c r="P76" i="4"/>
  <c r="P75" i="4"/>
  <c r="P72" i="4"/>
  <c r="P71" i="4"/>
  <c r="P70" i="4"/>
  <c r="P69" i="4"/>
  <c r="P68" i="4"/>
  <c r="P67" i="4"/>
  <c r="P66" i="4"/>
  <c r="P65" i="4"/>
  <c r="P64" i="4"/>
  <c r="P63" i="4"/>
  <c r="P59" i="4"/>
  <c r="P58" i="4"/>
  <c r="P57" i="4"/>
  <c r="P56" i="4"/>
  <c r="P55" i="4"/>
  <c r="P54" i="4"/>
  <c r="P53" i="4"/>
  <c r="P52" i="4"/>
  <c r="P50" i="4"/>
  <c r="P49" i="4"/>
  <c r="P48" i="4"/>
  <c r="P47" i="4"/>
  <c r="P46" i="4"/>
  <c r="P45" i="4"/>
  <c r="P44" i="4"/>
  <c r="P43" i="4"/>
  <c r="P42" i="4"/>
  <c r="P41" i="4"/>
  <c r="P40" i="4"/>
  <c r="P38" i="4"/>
  <c r="P37" i="4"/>
  <c r="P34" i="4"/>
  <c r="P33" i="4"/>
  <c r="P32" i="4"/>
  <c r="P31" i="4"/>
  <c r="P30" i="4"/>
  <c r="P29" i="4"/>
  <c r="P28" i="4"/>
  <c r="P27" i="4"/>
  <c r="P26" i="4"/>
  <c r="P24" i="4"/>
  <c r="P23" i="4"/>
  <c r="P22" i="4"/>
  <c r="P21" i="4"/>
  <c r="P20" i="4"/>
  <c r="P19" i="4"/>
  <c r="P18" i="4"/>
  <c r="P17" i="4"/>
  <c r="P16" i="4"/>
  <c r="P13" i="4"/>
  <c r="P11" i="4"/>
  <c r="D51" i="4"/>
  <c r="P51" i="4" s="1"/>
  <c r="D25" i="4"/>
  <c r="P25" i="4" s="1"/>
  <c r="D15" i="4"/>
  <c r="P15" i="4" s="1"/>
  <c r="D9" i="4"/>
  <c r="C51" i="4"/>
  <c r="C15" i="4"/>
  <c r="C9" i="4"/>
  <c r="B51" i="4"/>
  <c r="B25" i="4"/>
  <c r="B15" i="4"/>
  <c r="I73" i="4" l="1"/>
  <c r="L61" i="4"/>
  <c r="L73" i="4" s="1"/>
  <c r="L8" i="4" s="1"/>
  <c r="N61" i="4"/>
  <c r="P9" i="4"/>
  <c r="G8" i="4"/>
  <c r="F8" i="4"/>
  <c r="E86" i="4"/>
  <c r="E8" i="4"/>
  <c r="C73" i="4"/>
  <c r="C86" i="4" s="1"/>
  <c r="D73" i="4"/>
  <c r="B9" i="4"/>
  <c r="B73" i="4" s="1"/>
  <c r="B8" i="4" s="1"/>
  <c r="I86" i="4" l="1"/>
  <c r="I8" i="4"/>
  <c r="K35" i="4"/>
  <c r="K73" i="4" s="1"/>
  <c r="J35" i="4"/>
  <c r="L86" i="4"/>
  <c r="O61" i="4"/>
  <c r="P62" i="4"/>
  <c r="C8" i="4"/>
  <c r="D86" i="4"/>
  <c r="D8" i="4"/>
  <c r="B75" i="4"/>
  <c r="B84" i="4"/>
  <c r="B86" i="4" s="1"/>
  <c r="M35" i="4" l="1"/>
  <c r="M73" i="4" s="1"/>
  <c r="M86" i="4" s="1"/>
  <c r="K86" i="4"/>
  <c r="K8" i="4"/>
  <c r="P61" i="4"/>
  <c r="J73" i="4"/>
  <c r="M8" i="4" l="1"/>
  <c r="J86" i="4"/>
  <c r="J8" i="4"/>
  <c r="N35" i="4" l="1"/>
  <c r="N73" i="4" l="1"/>
  <c r="O35" i="4"/>
  <c r="O73" i="4" s="1"/>
  <c r="P36" i="4"/>
  <c r="O86" i="4" l="1"/>
  <c r="O8" i="4"/>
  <c r="N86" i="4"/>
  <c r="P73" i="4"/>
  <c r="N8" i="4"/>
  <c r="P35" i="4"/>
  <c r="P86" i="4" l="1"/>
  <c r="P8" i="4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<sst xmlns="http://schemas.openxmlformats.org/spreadsheetml/2006/main" count="110" uniqueCount="110">
  <si>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</si>
  <si>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</si>
  <si>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</si>
  <si>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</si>
  <si>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</si>
  <si>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</si>
  <si>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</si>
  <si>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</si>
  <si>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</si>
  <si>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</si>
  <si>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</si>
  <si>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</si>
  <si>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</si>
  <si>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</si>
  <si>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</si>
  <si>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</si>
  <si>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</si>
  <si>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</si>
  <si>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</si>
  <si>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</si>
  <si>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</si>
  <si>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</si>
  <si>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</si>
  <si>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</si>
  <si>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</si>
  <si>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</si>
  <si>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</si>
  <si>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</si>
  <si>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</si>
  <si>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</si>
  <si>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</si>
  <si>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</si>
  <si>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</si>
  <si>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</si>
  <si>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</si>
  <si>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</si>
  <si>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</si>
  <si>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</si>
  <si>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</si>
  <si>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</si>
  <si>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</si>
  <si>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</si>
  <si>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</si>
  <si>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</si>
  <si>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</si>
  <si>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</si>
  <si>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</si>
  <si>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</si>
  <si>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</si>
  <si>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</si>
  <si>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</si>
  <si>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</si>
  <si>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</si>
  <si>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</si>
  <si>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</si>
  <si>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</si>
  <si>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</si>
  <si>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</si>
  <si>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</si>
  <si>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</si>
  <si>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</si>
  <si>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</si>
  <si>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</si>
  <si>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</si>
  <si>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</si>
  <si>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</si>
  <si>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</si>
  <si>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</si>
  <si>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</si>
  <si>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</si>
  <si>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</si>
  <si>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</si>
  <si>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</si>
  <si>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</si>
  <si>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</si>
  <si>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</si>
  <si>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</si>
  <si>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</si>
  <si>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</si>
  <si>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</si>
  <si>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</si>
  <si>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</si>
  <si>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</si>
  <si>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</si>
  <si>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</si>
  <si>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</si>
  <si>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</si>
  <si>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</si>
  <si>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</si>
  <si>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</si>
  <si>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</si>
  <si>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</si>
  <si>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</si>
  <si>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</si>
  <si>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</si>
  <si>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</si>
  <si>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</si>
  <si>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</si>
  <si>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</si>
  <si>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</si>
  <si>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</si>
  <si>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</si>
  <si>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</si>
  <si>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Fuente: [SIGEF]</t>
  </si>
  <si>
    <t>Revisado: Juan Gonzalez</t>
  </si>
  <si>
    <t>Preparado: Yohan Alcantara</t>
  </si>
  <si>
    <t>Aprobado: María Eugenia Montero</t>
  </si>
  <si>
    <t xml:space="preserve">           Analista Financiera</t>
  </si>
  <si>
    <t xml:space="preserve">       Enc. de Contabilidad</t>
  </si>
  <si>
    <t xml:space="preserve">       Dir.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</si>
</sst>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0">
    <xf numFmtId="0" fontId="0" fillId="0" borderId="0" xfId="0"/>
    <xf numFmtId="43" fontId="0" fillId="0" borderId="0" xfId="1" applyFont="1"/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2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/>
    <xf numFmtId="43" fontId="0" fillId="0" borderId="0" xfId="0" applyNumberForma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1" xfId="1" applyFont="1" applyBorder="1" applyAlignment="1">
      <alignment vertical="center" wrapText="1"/>
    </xf>
    <xf numFmtId="43" fontId="2" fillId="0" borderId="0" xfId="1" applyFont="1" applyBorder="1" applyAlignment="1">
      <alignment vertical="center" wrapText="1"/>
    </xf>
    <xf numFmtId="43" fontId="2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2" fillId="2" borderId="2" xfId="1" applyFont="1" applyFill="1" applyBorder="1" applyAlignment="1">
      <alignment vertical="center" wrapText="1"/>
    </xf>
    <xf numFmtId="43" fontId="2" fillId="2" borderId="2" xfId="0" applyNumberFormat="1" applyFont="1" applyFill="1" applyBorder="1" applyAlignment="1">
      <alignment vertical="center" wrapText="1"/>
    </xf>
    <xf numFmtId="43" fontId="2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0" fontId="2" fillId="0" borderId="0" xfId="0" applyFont="1"/>
    <xf numFmtId="9" fontId="2" fillId="0" borderId="0" xfId="2" applyFont="1"/>
    <xf numFmtId="43" fontId="2" fillId="0" borderId="1" xfId="1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left" vertical="center" wrapText="1"/>
    </xf>
    <xf numFmtId="43" fontId="2" fillId="3" borderId="18" xfId="1" applyFont="1" applyFill="1" applyBorder="1" applyAlignment="1">
      <alignment vertical="center" wrapText="1"/>
    </xf>
    <xf numFmtId="43" fontId="8" fillId="0" borderId="0" xfId="0" applyNumberFormat="1" applyFont="1" applyAlignment="1">
      <alignment vertical="center"/>
    </xf>
    <xf numFmtId="43" fontId="5" fillId="0" borderId="0" xfId="1" applyFont="1" applyFill="1" applyBorder="1" applyAlignment="1">
      <alignment vertical="center"/>
    </xf>
    <xf numFmtId="43" fontId="9" fillId="0" borderId="0" xfId="0" applyNumberFormat="1" applyFont="1" applyAlignment="1">
      <alignment vertical="center"/>
    </xf>
    <xf numFmtId="43" fontId="0" fillId="0" borderId="0" xfId="1" applyFont="1" applyFill="1" applyBorder="1" applyAlignment="1">
      <alignment vertical="center"/>
    </xf>
    <xf numFmtId="43" fontId="2" fillId="6" borderId="0" xfId="1" applyFont="1" applyFill="1" applyBorder="1" applyAlignment="1">
      <alignment vertical="center" wrapText="1"/>
    </xf>
    <xf numFmtId="43" fontId="2" fillId="6" borderId="0" xfId="0" applyNumberFormat="1" applyFont="1" applyFill="1" applyAlignment="1">
      <alignment vertical="center"/>
    </xf>
    <xf numFmtId="43" fontId="2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43" fontId="5" fillId="0" borderId="0" xfId="1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0" fontId="3" fillId="0" borderId="0" xfId="0" applyFont="1"/>
    <xf numFmtId="43" fontId="6" fillId="4" borderId="7" xfId="1" applyFont="1" applyFill="1" applyBorder="1" applyAlignment="1">
      <alignment horizontal="center" wrapText="1"/>
    </xf>
    <xf numFmtId="43" fontId="6" fillId="4" borderId="8" xfId="0" applyNumberFormat="1" applyFont="1" applyFill="1" applyBorder="1" applyAlignment="1">
      <alignment horizontal="center" wrapText="1"/>
    </xf>
    <xf numFmtId="43" fontId="6" fillId="4" borderId="7" xfId="0" applyNumberFormat="1" applyFont="1" applyFill="1" applyBorder="1" applyAlignment="1">
      <alignment horizontal="center" wrapText="1"/>
    </xf>
    <xf numFmtId="43" fontId="6" fillId="4" borderId="3" xfId="0" applyNumberFormat="1" applyFont="1" applyFill="1" applyBorder="1" applyAlignment="1">
      <alignment horizontal="center" wrapText="1"/>
    </xf>
    <xf numFmtId="43" fontId="6" fillId="4" borderId="5" xfId="0" applyNumberFormat="1" applyFont="1" applyFill="1" applyBorder="1" applyAlignment="1">
      <alignment horizontal="center" wrapText="1"/>
    </xf>
    <xf numFmtId="43" fontId="6" fillId="4" borderId="6" xfId="0" applyNumberFormat="1" applyFont="1" applyFill="1" applyBorder="1" applyAlignment="1">
      <alignment horizontal="center" wrapText="1"/>
    </xf>
    <xf numFmtId="43" fontId="0" fillId="0" borderId="0" xfId="0" applyNumberFormat="1"/>
    <xf numFmtId="0" fontId="6" fillId="4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3" fontId="6" fillId="4" borderId="10" xfId="1" applyFont="1" applyFill="1" applyBorder="1" applyAlignment="1">
      <alignment horizontal="center" vertical="center" wrapText="1"/>
    </xf>
    <xf numFmtId="43" fontId="6" fillId="4" borderId="4" xfId="1" applyFont="1" applyFill="1" applyBorder="1" applyAlignment="1">
      <alignment horizontal="center" vertical="center" wrapText="1"/>
    </xf>
    <xf numFmtId="43" fontId="7" fillId="5" borderId="11" xfId="1" applyFont="1" applyFill="1" applyBorder="1" applyAlignment="1">
      <alignment horizontal="center" vertical="center"/>
    </xf>
    <xf numFmtId="43" fontId="7" fillId="5" borderId="12" xfId="1" applyFont="1" applyFill="1" applyBorder="1" applyAlignment="1">
      <alignment horizontal="center" vertical="center"/>
    </xf>
    <xf numFmtId="43" fontId="7" fillId="5" borderId="19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11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242357</xdr:colOff>
      <xdr:row>0</xdr:row>
      <xdr:rowOff>34927</xdr:rowOff>
    </xdr:from>
    <xdr:to>
      <xdr:col>0</xdr:col>
      <xdr:colOff>1999618</xdr:colOff>
      <xdr:row>3</xdr:row>
      <xdr:rowOff>104775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57" y="273052"/>
          <a:ext cx="1757261" cy="746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AA97"/>
  <sheetViews>
    <sheetView showGridLines="0" tabSelected="1" zoomScaleNormal="100" workbookViewId="0">
      <pane xSplit="3" ySplit="8" topLeftCell="D82" activePane="bottomRight" state="frozen"/>
      <selection pane="topRight" activeCell="D1" sqref="D1"/>
      <selection pane="bottomLeft" activeCell="A10" sqref="A10"/>
      <selection pane="bottomRight" activeCell="F98" sqref="F98"/>
    </sheetView>
  </sheetViews>
  <sheetFormatPr baseColWidth="10" defaultColWidth="9.140625" defaultRowHeight="15" x14ac:dyDescent="0.25"/>
  <cols>
    <col min="1" max="1" width="54.5703125" bestFit="1" customWidth="1"/>
    <col min="2" max="3" width="14.5703125" style="18" bestFit="1" customWidth="1"/>
    <col min="4" max="4" width="13.5703125" style="18" bestFit="1" customWidth="1"/>
    <col min="5" max="7" width="13.5703125" style="8" bestFit="1" customWidth="1"/>
    <col min="8" max="15" width="3.42578125" style="8" hidden="1" customWidth="1"/>
    <col min="16" max="16" width="13.5703125" style="8" bestFit="1" customWidth="1"/>
    <col min="18" max="25" width="6" bestFit="1" customWidth="1"/>
    <col min="26" max="27" width="7" bestFit="1" customWidth="1"/>
  </cols>
  <sheetData>
    <row r="1" spans="1:27" ht="18.75" customHeight="1" x14ac:dyDescent="0.25">
      <c r="A1" s="50" t="s">
        <v>99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27" ht="18.75" x14ac:dyDescent="0.25">
      <c r="A2" s="50">
        <v>2025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27" ht="15.75" x14ac:dyDescent="0.25">
      <c r="A3" s="51" t="s">
        <v>97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27" x14ac:dyDescent="0.25">
      <c r="A4" s="52" t="s">
        <v>36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27" ht="5.0999999999999996" customHeight="1" thickBot="1" x14ac:dyDescent="0.3">
      <c r="P5" s="25"/>
    </row>
    <row r="6" spans="1:27" ht="21" customHeight="1" x14ac:dyDescent="0.25">
      <c r="A6" s="43" t="s">
        <v>0</v>
      </c>
      <c r="B6" s="45" t="s">
        <v>100</v>
      </c>
      <c r="C6" s="45" t="s">
        <v>101</v>
      </c>
      <c r="D6" s="47" t="s">
        <v>102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9"/>
    </row>
    <row r="7" spans="1:27" ht="15" customHeight="1" x14ac:dyDescent="0.25">
      <c r="A7" s="44"/>
      <c r="B7" s="46"/>
      <c r="C7" s="46"/>
      <c r="D7" s="36" t="s">
        <v>79</v>
      </c>
      <c r="E7" s="37" t="s">
        <v>80</v>
      </c>
      <c r="F7" s="38" t="s">
        <v>81</v>
      </c>
      <c r="G7" s="38" t="s">
        <v>82</v>
      </c>
      <c r="H7" s="38" t="s">
        <v>83</v>
      </c>
      <c r="I7" s="39" t="s">
        <v>84</v>
      </c>
      <c r="J7" s="40" t="s">
        <v>85</v>
      </c>
      <c r="K7" s="39" t="s">
        <v>86</v>
      </c>
      <c r="L7" s="41" t="s">
        <v>87</v>
      </c>
      <c r="M7" s="40" t="s">
        <v>88</v>
      </c>
      <c r="N7" s="40" t="s">
        <v>89</v>
      </c>
      <c r="O7" s="40" t="s">
        <v>90</v>
      </c>
      <c r="P7" s="39" t="s">
        <v>98</v>
      </c>
      <c r="Z7" s="42"/>
      <c r="AA7" s="42"/>
    </row>
    <row r="8" spans="1:27" ht="20.100000000000001" customHeight="1" x14ac:dyDescent="0.25">
      <c r="A8" s="2" t="s">
        <v>1</v>
      </c>
      <c r="B8" s="10">
        <f>SUM(B73)</f>
        <v>354000000</v>
      </c>
      <c r="C8" s="10">
        <f t="shared" ref="C8:O8" si="0">SUM(C73)</f>
        <v>471119128.90999997</v>
      </c>
      <c r="D8" s="10">
        <f t="shared" si="0"/>
        <v>11851531.859999999</v>
      </c>
      <c r="E8" s="10">
        <f>SUM(E73)</f>
        <v>14871649.939999999</v>
      </c>
      <c r="F8" s="10">
        <f t="shared" si="0"/>
        <v>21584749.810000002</v>
      </c>
      <c r="G8" s="10">
        <f t="shared" si="0"/>
        <v>17856496.849999994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  <c r="O8" s="10">
        <f t="shared" si="0"/>
        <v>0</v>
      </c>
      <c r="P8" s="21">
        <f>SUM(D8:O8)</f>
        <v>66164428.459999993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9" customFormat="1" ht="20.100000000000001" customHeight="1" x14ac:dyDescent="0.25">
      <c r="A9" s="3" t="s">
        <v>2</v>
      </c>
      <c r="B9" s="28">
        <f>SUM(B10:B14)</f>
        <v>232020884</v>
      </c>
      <c r="C9" s="28">
        <f>SUM(C10:C14)</f>
        <v>232020884</v>
      </c>
      <c r="D9" s="30">
        <f>SUM(D10:D14)</f>
        <v>9663877.5299999993</v>
      </c>
      <c r="E9" s="28">
        <f>SUM(E10:E14)</f>
        <v>10790318.43</v>
      </c>
      <c r="F9" s="28">
        <f t="shared" ref="F9:O9" si="1">SUM(F10:F14)</f>
        <v>12127452.690000001</v>
      </c>
      <c r="G9" s="28">
        <f t="shared" si="1"/>
        <v>11867811.689999996</v>
      </c>
      <c r="H9" s="28">
        <f t="shared" si="1"/>
        <v>0</v>
      </c>
      <c r="I9" s="28">
        <f t="shared" si="1"/>
        <v>0</v>
      </c>
      <c r="J9" s="28">
        <f t="shared" si="1"/>
        <v>0</v>
      </c>
      <c r="K9" s="28">
        <f t="shared" si="1"/>
        <v>0</v>
      </c>
      <c r="L9" s="28">
        <f t="shared" si="1"/>
        <v>0</v>
      </c>
      <c r="M9" s="28">
        <f t="shared" si="1"/>
        <v>0</v>
      </c>
      <c r="N9" s="28">
        <f t="shared" si="1"/>
        <v>0</v>
      </c>
      <c r="O9" s="28">
        <f t="shared" si="1"/>
        <v>0</v>
      </c>
      <c r="P9" s="28">
        <f>SUM(D9:O9)</f>
        <v>44449460.339999996</v>
      </c>
      <c r="R9" s="20"/>
    </row>
    <row r="10" spans="1:27" ht="18" customHeight="1" x14ac:dyDescent="0.25">
      <c r="A10" s="4" t="s">
        <v>3</v>
      </c>
      <c r="B10" s="33">
        <v>156190000</v>
      </c>
      <c r="C10" s="33">
        <v>156190000</v>
      </c>
      <c r="D10" s="14">
        <v>7689000</v>
      </c>
      <c r="E10" s="13">
        <f>16471022.61-D10</f>
        <v>8782022.6099999994</v>
      </c>
      <c r="F10" s="13">
        <f>26389150.44-D10-E10</f>
        <v>9918127.8300000019</v>
      </c>
      <c r="G10" s="13">
        <f>35983150.44-D10-E10-F10</f>
        <v>9593999.9999999963</v>
      </c>
      <c r="H10" s="14"/>
      <c r="I10" s="13"/>
      <c r="J10" s="13"/>
      <c r="K10" s="13"/>
      <c r="L10" s="13"/>
      <c r="M10" s="13"/>
      <c r="N10" s="13"/>
      <c r="O10" s="13"/>
      <c r="P10" s="14">
        <f>SUM(D10:O10)</f>
        <v>35983150.439999998</v>
      </c>
    </row>
    <row r="11" spans="1:27" x14ac:dyDescent="0.25">
      <c r="A11" s="4" t="s">
        <v>4</v>
      </c>
      <c r="B11" s="33">
        <v>55984500</v>
      </c>
      <c r="C11" s="25">
        <v>55984500</v>
      </c>
      <c r="D11" s="14">
        <v>867750</v>
      </c>
      <c r="E11" s="13">
        <f>1665400-D11</f>
        <v>797650</v>
      </c>
      <c r="F11" s="13">
        <f>2541400-D11-E11</f>
        <v>876000</v>
      </c>
      <c r="G11" s="13">
        <f>3410650-D11-E11-F11</f>
        <v>869250</v>
      </c>
      <c r="H11" s="14"/>
      <c r="N11" s="13"/>
      <c r="P11" s="13">
        <f t="shared" ref="P11:P13" si="2">SUM(D11:O11)</f>
        <v>3410650</v>
      </c>
    </row>
    <row r="12" spans="1:27" x14ac:dyDescent="0.25">
      <c r="A12" s="4" t="s">
        <v>37</v>
      </c>
      <c r="B12" s="33">
        <v>0</v>
      </c>
      <c r="C12" s="25">
        <v>0</v>
      </c>
      <c r="D12" s="14">
        <v>0</v>
      </c>
      <c r="E12" s="13">
        <f t="shared" ref="E12:E24" si="3">0-D12</f>
        <v>0</v>
      </c>
      <c r="F12" s="13">
        <f t="shared" ref="F12:F34" si="4">0-D12-E12</f>
        <v>0</v>
      </c>
      <c r="G12" s="13">
        <f t="shared" ref="G12:G13" si="5">0-D12-E12-F12</f>
        <v>0</v>
      </c>
      <c r="H12" s="14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13">
        <v>0</v>
      </c>
      <c r="O12" s="8">
        <v>0</v>
      </c>
      <c r="P12" s="13">
        <f>SUM(D12:O12)</f>
        <v>0</v>
      </c>
    </row>
    <row r="13" spans="1:27" x14ac:dyDescent="0.25">
      <c r="A13" s="4" t="s">
        <v>5</v>
      </c>
      <c r="B13" s="33">
        <v>0</v>
      </c>
      <c r="C13" s="25">
        <v>0</v>
      </c>
      <c r="D13" s="14">
        <v>0</v>
      </c>
      <c r="E13" s="13">
        <f t="shared" si="3"/>
        <v>0</v>
      </c>
      <c r="F13" s="13">
        <f t="shared" si="4"/>
        <v>0</v>
      </c>
      <c r="G13" s="13">
        <f t="shared" si="5"/>
        <v>0</v>
      </c>
      <c r="H13" s="14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3">
        <v>0</v>
      </c>
      <c r="O13" s="8">
        <v>0</v>
      </c>
      <c r="P13" s="13">
        <f t="shared" si="2"/>
        <v>0</v>
      </c>
    </row>
    <row r="14" spans="1:27" x14ac:dyDescent="0.25">
      <c r="A14" s="4" t="s">
        <v>6</v>
      </c>
      <c r="B14" s="33">
        <v>19846384</v>
      </c>
      <c r="C14" s="33">
        <v>19846384</v>
      </c>
      <c r="D14" s="14">
        <v>1107127.53</v>
      </c>
      <c r="E14" s="13">
        <f>2317773.35-D14</f>
        <v>1210645.82</v>
      </c>
      <c r="F14" s="13">
        <f>3651098.21-D14-E14</f>
        <v>1333324.8599999996</v>
      </c>
      <c r="G14" s="13">
        <f>5055659.9-D14-E14-F14</f>
        <v>1404561.6900000002</v>
      </c>
      <c r="H14" s="14"/>
      <c r="N14" s="13"/>
      <c r="P14" s="13">
        <f>SUM(D14:O14)</f>
        <v>5055659.9000000004</v>
      </c>
    </row>
    <row r="15" spans="1:27" s="19" customFormat="1" x14ac:dyDescent="0.25">
      <c r="A15" s="3" t="s">
        <v>7</v>
      </c>
      <c r="B15" s="28">
        <f>SUM(B16:B24)</f>
        <v>105680008</v>
      </c>
      <c r="C15" s="28">
        <f>SUM(C16:C24)</f>
        <v>188874136.91</v>
      </c>
      <c r="D15" s="28">
        <f>SUM(D16:D24)</f>
        <v>2187654.33</v>
      </c>
      <c r="E15" s="29">
        <f>SUM(E16:E24)</f>
        <v>2369031.5100000002</v>
      </c>
      <c r="F15" s="29">
        <f t="shared" ref="F15:O15" si="6">SUM(F16:F24)</f>
        <v>7979198.3200000003</v>
      </c>
      <c r="G15" s="29">
        <f t="shared" si="6"/>
        <v>5015143.4399999995</v>
      </c>
      <c r="H15" s="28">
        <f t="shared" si="6"/>
        <v>0</v>
      </c>
      <c r="I15" s="29">
        <f t="shared" si="6"/>
        <v>0</v>
      </c>
      <c r="J15" s="29">
        <f t="shared" si="6"/>
        <v>0</v>
      </c>
      <c r="K15" s="29">
        <f t="shared" si="6"/>
        <v>0</v>
      </c>
      <c r="L15" s="29">
        <f t="shared" si="6"/>
        <v>0</v>
      </c>
      <c r="M15" s="29">
        <f t="shared" si="6"/>
        <v>0</v>
      </c>
      <c r="N15" s="29">
        <f t="shared" si="6"/>
        <v>0</v>
      </c>
      <c r="O15" s="29">
        <f t="shared" si="6"/>
        <v>0</v>
      </c>
      <c r="P15" s="28">
        <f>SUM(D15:O15)</f>
        <v>17551027.600000001</v>
      </c>
    </row>
    <row r="16" spans="1:27" x14ac:dyDescent="0.25">
      <c r="A16" s="4" t="s">
        <v>8</v>
      </c>
      <c r="B16" s="31">
        <v>10476000</v>
      </c>
      <c r="C16" s="27">
        <v>11254000</v>
      </c>
      <c r="D16" s="31">
        <v>685540.13</v>
      </c>
      <c r="E16" s="8">
        <f>1426969.46-D16</f>
        <v>741429.33</v>
      </c>
      <c r="F16" s="8">
        <f>2128641.27-D16-E16</f>
        <v>701671.81000000017</v>
      </c>
      <c r="G16" s="8">
        <f>2874732.88-D16-E16-F16</f>
        <v>746091.60999999975</v>
      </c>
      <c r="H16" s="14"/>
      <c r="P16" s="8">
        <f>SUM(D16:O16)</f>
        <v>2874732.88</v>
      </c>
    </row>
    <row r="17" spans="1:16" x14ac:dyDescent="0.25">
      <c r="A17" s="4" t="s">
        <v>9</v>
      </c>
      <c r="B17" s="31">
        <v>11985000</v>
      </c>
      <c r="C17" s="31">
        <v>12835000</v>
      </c>
      <c r="D17" s="31">
        <v>0</v>
      </c>
      <c r="E17" s="8">
        <f t="shared" si="3"/>
        <v>0</v>
      </c>
      <c r="F17" s="8">
        <f t="shared" si="4"/>
        <v>0</v>
      </c>
      <c r="G17" s="8">
        <f>59000-D17-E17-F17</f>
        <v>59000</v>
      </c>
      <c r="H17" s="14"/>
      <c r="P17" s="8">
        <f t="shared" ref="P17:P24" si="7">SUM(D17:O17)</f>
        <v>59000</v>
      </c>
    </row>
    <row r="18" spans="1:16" x14ac:dyDescent="0.25">
      <c r="A18" s="4" t="s">
        <v>10</v>
      </c>
      <c r="B18" s="31">
        <v>6200000</v>
      </c>
      <c r="C18" s="27">
        <v>6200000</v>
      </c>
      <c r="D18" s="31">
        <v>303277.02</v>
      </c>
      <c r="E18" s="8">
        <f>331367.02-D18</f>
        <v>28090</v>
      </c>
      <c r="F18" s="8">
        <f>620321.72-D18-E18</f>
        <v>288954.69999999995</v>
      </c>
      <c r="G18" s="8">
        <f>757613.4-D18-E18-F18</f>
        <v>137291.68000000005</v>
      </c>
      <c r="H18" s="14"/>
      <c r="L18" s="26"/>
      <c r="P18" s="8">
        <f t="shared" si="7"/>
        <v>757613.4</v>
      </c>
    </row>
    <row r="19" spans="1:16" ht="18" customHeight="1" x14ac:dyDescent="0.25">
      <c r="A19" s="4" t="s">
        <v>11</v>
      </c>
      <c r="B19" s="31">
        <v>2092010</v>
      </c>
      <c r="C19" s="31">
        <v>2092010</v>
      </c>
      <c r="D19" s="31">
        <v>88175.53</v>
      </c>
      <c r="E19" s="8">
        <f>88175.53-D19</f>
        <v>0</v>
      </c>
      <c r="F19" s="8">
        <f>88175.53-D19-E19</f>
        <v>0</v>
      </c>
      <c r="G19" s="8">
        <f>250853.93-D19-E19-F19</f>
        <v>162678.39999999999</v>
      </c>
      <c r="H19" s="14"/>
      <c r="P19" s="8">
        <f t="shared" si="7"/>
        <v>250853.93</v>
      </c>
    </row>
    <row r="20" spans="1:16" x14ac:dyDescent="0.25">
      <c r="A20" s="4" t="s">
        <v>12</v>
      </c>
      <c r="B20" s="31">
        <v>5419200</v>
      </c>
      <c r="C20" s="31">
        <v>8491200</v>
      </c>
      <c r="D20" s="31">
        <v>0</v>
      </c>
      <c r="E20" s="8">
        <f>139240-D20</f>
        <v>139240</v>
      </c>
      <c r="F20" s="8">
        <f>208860-D20-E20</f>
        <v>69620</v>
      </c>
      <c r="G20" s="8">
        <f>305080.01-D20-E20-F20</f>
        <v>96220.010000000009</v>
      </c>
      <c r="H20" s="14"/>
      <c r="P20" s="8">
        <f t="shared" si="7"/>
        <v>305080.01</v>
      </c>
    </row>
    <row r="21" spans="1:16" x14ac:dyDescent="0.25">
      <c r="A21" s="4" t="s">
        <v>13</v>
      </c>
      <c r="B21" s="31">
        <v>18394018</v>
      </c>
      <c r="C21" s="27">
        <v>18794018</v>
      </c>
      <c r="D21" s="31">
        <v>1110661.6499999999</v>
      </c>
      <c r="E21" s="8">
        <f>2570933.83-D21</f>
        <v>1460272.1800000002</v>
      </c>
      <c r="F21" s="8">
        <f>3901637.97-D21-E21</f>
        <v>1330704.1400000001</v>
      </c>
      <c r="G21" s="8">
        <f>4721334.14-D21-E21-F21</f>
        <v>819696.16999999946</v>
      </c>
      <c r="H21" s="14"/>
      <c r="P21" s="8">
        <f t="shared" si="7"/>
        <v>4721334.1399999997</v>
      </c>
    </row>
    <row r="22" spans="1:16" ht="30" x14ac:dyDescent="0.25">
      <c r="A22" s="4" t="s">
        <v>14</v>
      </c>
      <c r="B22" s="31">
        <v>2652000</v>
      </c>
      <c r="C22" s="31">
        <v>7352000</v>
      </c>
      <c r="D22" s="31">
        <v>0</v>
      </c>
      <c r="E22" s="8">
        <f t="shared" si="3"/>
        <v>0</v>
      </c>
      <c r="F22" s="8">
        <f>348475.7-D22-E22</f>
        <v>348475.7</v>
      </c>
      <c r="G22" s="8">
        <f>851461.7-D22-E22-F22</f>
        <v>502985.99999999994</v>
      </c>
      <c r="H22" s="14"/>
      <c r="P22" s="8">
        <f t="shared" si="7"/>
        <v>851461.7</v>
      </c>
    </row>
    <row r="23" spans="1:16" ht="30" x14ac:dyDescent="0.25">
      <c r="A23" s="4" t="s">
        <v>15</v>
      </c>
      <c r="B23" s="31">
        <v>33918500</v>
      </c>
      <c r="C23" s="31">
        <v>94562628.909999996</v>
      </c>
      <c r="D23" s="31"/>
      <c r="E23" s="8">
        <f t="shared" si="3"/>
        <v>0</v>
      </c>
      <c r="F23" s="8">
        <f>3535057.01-D23-E23</f>
        <v>3535057.01</v>
      </c>
      <c r="G23" s="8">
        <f>5315155.48-D23-E23-F23</f>
        <v>1780098.4700000007</v>
      </c>
      <c r="H23" s="14"/>
      <c r="P23" s="8">
        <f t="shared" si="7"/>
        <v>5315155.4800000004</v>
      </c>
    </row>
    <row r="24" spans="1:16" x14ac:dyDescent="0.25">
      <c r="A24" s="4" t="s">
        <v>38</v>
      </c>
      <c r="B24" s="31">
        <v>14543280</v>
      </c>
      <c r="C24" s="31">
        <v>27293280</v>
      </c>
      <c r="D24" s="31">
        <v>0</v>
      </c>
      <c r="E24" s="8">
        <f t="shared" si="3"/>
        <v>0</v>
      </c>
      <c r="F24" s="8">
        <f>1704714.96-D24-E24</f>
        <v>1704714.96</v>
      </c>
      <c r="G24" s="8">
        <f>2415796.06-D24-E24-F24</f>
        <v>711081.10000000009</v>
      </c>
      <c r="H24" s="14"/>
      <c r="P24" s="8">
        <f t="shared" si="7"/>
        <v>2415796.06</v>
      </c>
    </row>
    <row r="25" spans="1:16" s="19" customFormat="1" ht="19.5" customHeight="1" x14ac:dyDescent="0.25">
      <c r="A25" s="3" t="s">
        <v>16</v>
      </c>
      <c r="B25" s="28">
        <f>SUM(B26:B34)</f>
        <v>15355650</v>
      </c>
      <c r="C25" s="28">
        <f>SUM(C26:C34)</f>
        <v>25230650</v>
      </c>
      <c r="D25" s="28">
        <f>SUM(D26:D34)</f>
        <v>0</v>
      </c>
      <c r="E25" s="29">
        <f>SUM(E26:E34)</f>
        <v>1712300</v>
      </c>
      <c r="F25" s="29">
        <f t="shared" ref="F25:O25" si="8">SUM(F26:F34)</f>
        <v>756826.92</v>
      </c>
      <c r="G25" s="29">
        <f t="shared" si="8"/>
        <v>726541.72</v>
      </c>
      <c r="H25" s="28">
        <f t="shared" si="8"/>
        <v>0</v>
      </c>
      <c r="I25" s="29">
        <f t="shared" si="8"/>
        <v>0</v>
      </c>
      <c r="J25" s="29">
        <f t="shared" si="8"/>
        <v>0</v>
      </c>
      <c r="K25" s="29">
        <f t="shared" si="8"/>
        <v>0</v>
      </c>
      <c r="L25" s="29">
        <f t="shared" si="8"/>
        <v>0</v>
      </c>
      <c r="M25" s="29">
        <f t="shared" si="8"/>
        <v>0</v>
      </c>
      <c r="N25" s="29">
        <f t="shared" si="8"/>
        <v>0</v>
      </c>
      <c r="O25" s="29">
        <f t="shared" si="8"/>
        <v>0</v>
      </c>
      <c r="P25" s="28">
        <f>SUM(D25:O25)</f>
        <v>3195668.6399999997</v>
      </c>
    </row>
    <row r="26" spans="1:16" ht="21.75" customHeight="1" x14ac:dyDescent="0.25">
      <c r="A26" s="4" t="s">
        <v>17</v>
      </c>
      <c r="B26" s="31">
        <v>571050</v>
      </c>
      <c r="C26" s="27">
        <v>1496050</v>
      </c>
      <c r="D26" s="14"/>
      <c r="E26" s="8">
        <f>12300-D26</f>
        <v>12300</v>
      </c>
      <c r="F26" s="8">
        <f>112392.6-D26-E26</f>
        <v>100092.6</v>
      </c>
      <c r="G26" s="8">
        <f>220048.5-D26-E26-F26</f>
        <v>107655.9</v>
      </c>
      <c r="H26" s="14"/>
      <c r="P26" s="8">
        <f>SUM(D26:O26)</f>
        <v>220048.5</v>
      </c>
    </row>
    <row r="27" spans="1:16" ht="17.100000000000001" customHeight="1" x14ac:dyDescent="0.25">
      <c r="A27" s="4" t="s">
        <v>18</v>
      </c>
      <c r="B27" s="31">
        <v>1000000</v>
      </c>
      <c r="C27" s="27">
        <v>2575000</v>
      </c>
      <c r="D27" s="14"/>
      <c r="F27" s="8">
        <f t="shared" si="4"/>
        <v>0</v>
      </c>
      <c r="G27" s="8">
        <f t="shared" ref="G27:G34" si="9">0-D27-E27-F27</f>
        <v>0</v>
      </c>
      <c r="H27" s="14"/>
      <c r="P27" s="8">
        <f t="shared" ref="P27:P34" si="10">SUM(D27:O27)</f>
        <v>0</v>
      </c>
    </row>
    <row r="28" spans="1:16" ht="17.100000000000001" customHeight="1" x14ac:dyDescent="0.25">
      <c r="A28" s="4" t="s">
        <v>19</v>
      </c>
      <c r="B28" s="31">
        <v>570000</v>
      </c>
      <c r="C28" s="31">
        <v>2270000</v>
      </c>
      <c r="D28" s="14"/>
      <c r="F28" s="8">
        <f>54734.3-D28-E28</f>
        <v>54734.3</v>
      </c>
      <c r="G28" s="8">
        <f>71620.1-D28-E28-F28</f>
        <v>16885.800000000003</v>
      </c>
      <c r="H28" s="14"/>
      <c r="J28" s="24"/>
      <c r="P28" s="8">
        <f t="shared" si="10"/>
        <v>71620.100000000006</v>
      </c>
    </row>
    <row r="29" spans="1:16" ht="17.100000000000001" customHeight="1" x14ac:dyDescent="0.25">
      <c r="A29" s="4" t="s">
        <v>20</v>
      </c>
      <c r="B29" s="31">
        <v>0</v>
      </c>
      <c r="C29" s="27">
        <v>75000</v>
      </c>
      <c r="D29" s="14"/>
      <c r="F29" s="8">
        <f t="shared" si="4"/>
        <v>0</v>
      </c>
      <c r="G29" s="8">
        <f t="shared" si="9"/>
        <v>0</v>
      </c>
      <c r="H29" s="14"/>
      <c r="P29" s="8">
        <f t="shared" si="10"/>
        <v>0</v>
      </c>
    </row>
    <row r="30" spans="1:16" ht="17.100000000000001" customHeight="1" x14ac:dyDescent="0.25">
      <c r="A30" s="4" t="s">
        <v>21</v>
      </c>
      <c r="B30" s="31">
        <v>300000</v>
      </c>
      <c r="C30" s="31">
        <v>950000</v>
      </c>
      <c r="D30" s="14"/>
      <c r="F30" s="8">
        <f>42000.02-D30-E30</f>
        <v>42000.02</v>
      </c>
      <c r="G30" s="8">
        <f>84000.04-D30-E30-F30</f>
        <v>42000.02</v>
      </c>
      <c r="H30" s="14"/>
      <c r="P30" s="8">
        <f t="shared" si="10"/>
        <v>84000.04</v>
      </c>
    </row>
    <row r="31" spans="1:16" ht="30" x14ac:dyDescent="0.25">
      <c r="A31" s="4" t="s">
        <v>22</v>
      </c>
      <c r="B31" s="31">
        <v>17300</v>
      </c>
      <c r="C31" s="27">
        <v>317300</v>
      </c>
      <c r="D31" s="14"/>
      <c r="F31" s="8">
        <f t="shared" si="4"/>
        <v>0</v>
      </c>
      <c r="G31" s="8">
        <f t="shared" si="9"/>
        <v>0</v>
      </c>
      <c r="H31" s="14"/>
      <c r="P31" s="8">
        <f t="shared" si="10"/>
        <v>0</v>
      </c>
    </row>
    <row r="32" spans="1:16" ht="30" x14ac:dyDescent="0.25">
      <c r="A32" s="4" t="s">
        <v>23</v>
      </c>
      <c r="B32" s="31">
        <v>11388325</v>
      </c>
      <c r="C32" s="31">
        <v>12013325</v>
      </c>
      <c r="D32" s="14"/>
      <c r="E32" s="8">
        <f>1700000-D32</f>
        <v>1700000</v>
      </c>
      <c r="F32" s="8">
        <f>2260000-D32-E32</f>
        <v>560000</v>
      </c>
      <c r="G32" s="8">
        <f>2820000-D32-E32-F32</f>
        <v>560000</v>
      </c>
      <c r="H32" s="14"/>
      <c r="P32" s="8">
        <f t="shared" si="10"/>
        <v>2820000</v>
      </c>
    </row>
    <row r="33" spans="1:16" ht="30" x14ac:dyDescent="0.25">
      <c r="A33" s="4" t="s">
        <v>39</v>
      </c>
      <c r="B33" s="32">
        <v>0</v>
      </c>
      <c r="C33" s="32">
        <v>0</v>
      </c>
      <c r="D33" s="14">
        <v>0</v>
      </c>
      <c r="E33" s="8">
        <v>0</v>
      </c>
      <c r="F33" s="8">
        <f t="shared" si="4"/>
        <v>0</v>
      </c>
      <c r="G33" s="8">
        <f t="shared" si="9"/>
        <v>0</v>
      </c>
      <c r="H33" s="14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f t="shared" si="10"/>
        <v>0</v>
      </c>
    </row>
    <row r="34" spans="1:16" x14ac:dyDescent="0.25">
      <c r="A34" s="4" t="s">
        <v>24</v>
      </c>
      <c r="B34" s="31">
        <v>1508975</v>
      </c>
      <c r="C34" s="31">
        <v>5533975</v>
      </c>
      <c r="D34" s="14"/>
      <c r="F34" s="8">
        <f t="shared" si="4"/>
        <v>0</v>
      </c>
      <c r="G34" s="8">
        <f t="shared" si="9"/>
        <v>0</v>
      </c>
      <c r="H34" s="14"/>
      <c r="P34" s="8">
        <f t="shared" si="10"/>
        <v>0</v>
      </c>
    </row>
    <row r="35" spans="1:16" s="19" customFormat="1" x14ac:dyDescent="0.25">
      <c r="A35" s="3" t="s">
        <v>25</v>
      </c>
      <c r="B35" s="28">
        <f>SUM(B36:B42)</f>
        <v>0</v>
      </c>
      <c r="C35" s="30">
        <f>SUM(C36:C42)</f>
        <v>1500000</v>
      </c>
      <c r="D35" s="28">
        <f>SUM(D36:D42)</f>
        <v>0</v>
      </c>
      <c r="E35" s="29">
        <f>SUM(E36:E42)</f>
        <v>0</v>
      </c>
      <c r="F35" s="29">
        <f t="shared" ref="F35" si="11">SUM(F36:F42)</f>
        <v>0</v>
      </c>
      <c r="G35" s="29">
        <f>SUM(G36:G42)</f>
        <v>247000</v>
      </c>
      <c r="H35" s="28">
        <f>SUM(H36:H42)</f>
        <v>0</v>
      </c>
      <c r="I35" s="29">
        <f>SUM(I36:I42)</f>
        <v>0</v>
      </c>
      <c r="J35" s="29">
        <f>SUM(J36:J42)</f>
        <v>0</v>
      </c>
      <c r="K35" s="29">
        <f t="shared" ref="K35" si="12">SUM(K36:K42)</f>
        <v>0</v>
      </c>
      <c r="L35" s="29">
        <f t="shared" ref="L35" si="13">SUM(L36:L42)</f>
        <v>0</v>
      </c>
      <c r="M35" s="29">
        <f t="shared" ref="M35" si="14">SUM(M36:M42)</f>
        <v>0</v>
      </c>
      <c r="N35" s="29">
        <f t="shared" ref="N35" si="15">SUM(N36:N42)</f>
        <v>0</v>
      </c>
      <c r="O35" s="29">
        <f t="shared" ref="O35" si="16">SUM(O36:O42)</f>
        <v>0</v>
      </c>
      <c r="P35" s="29">
        <f>SUM(D35:O35)</f>
        <v>247000</v>
      </c>
    </row>
    <row r="36" spans="1:16" ht="30" x14ac:dyDescent="0.25">
      <c r="A36" s="4" t="s">
        <v>26</v>
      </c>
      <c r="B36" s="14">
        <v>0</v>
      </c>
      <c r="C36" s="13">
        <v>1500000</v>
      </c>
      <c r="D36" s="14">
        <v>0</v>
      </c>
      <c r="E36" s="8">
        <v>0</v>
      </c>
      <c r="F36" s="8">
        <f>0-D36-E36</f>
        <v>0</v>
      </c>
      <c r="G36" s="8">
        <f>247000-D36-E36-F36</f>
        <v>247000</v>
      </c>
      <c r="H36" s="14">
        <v>0</v>
      </c>
      <c r="I36" s="8">
        <v>0</v>
      </c>
      <c r="J36" s="8">
        <v>0</v>
      </c>
      <c r="K36" s="8">
        <v>0</v>
      </c>
      <c r="L36" s="9">
        <v>0</v>
      </c>
      <c r="M36" s="8">
        <v>0</v>
      </c>
      <c r="N36" s="8">
        <v>0</v>
      </c>
      <c r="O36" s="8">
        <v>0</v>
      </c>
      <c r="P36" s="8">
        <f>SUM(D36:O36)</f>
        <v>247000</v>
      </c>
    </row>
    <row r="37" spans="1:16" ht="30" x14ac:dyDescent="0.25">
      <c r="A37" s="4" t="s">
        <v>40</v>
      </c>
      <c r="B37" s="14"/>
      <c r="C37" s="13"/>
      <c r="D37" s="14"/>
      <c r="H37" s="14"/>
      <c r="N37" s="8">
        <f t="shared" ref="N37:N72" si="17">0-D37-E37-F37-G37-H37-I37-J37-K37-L37-M37</f>
        <v>0</v>
      </c>
      <c r="O37" s="8">
        <f>0-E37-F37-G37-H37-I37-J37-K37-L37-M37-N37-D37</f>
        <v>0</v>
      </c>
      <c r="P37" s="8">
        <f t="shared" ref="P37:P42" si="18">SUM(D37:O37)</f>
        <v>0</v>
      </c>
    </row>
    <row r="38" spans="1:16" ht="30" x14ac:dyDescent="0.25">
      <c r="A38" s="4" t="s">
        <v>41</v>
      </c>
      <c r="B38" s="14"/>
      <c r="C38" s="13"/>
      <c r="D38" s="14"/>
      <c r="H38" s="14"/>
      <c r="N38" s="8">
        <f t="shared" si="17"/>
        <v>0</v>
      </c>
      <c r="P38" s="8">
        <f t="shared" si="18"/>
        <v>0</v>
      </c>
    </row>
    <row r="39" spans="1:16" ht="30" x14ac:dyDescent="0.25">
      <c r="A39" s="4" t="s">
        <v>42</v>
      </c>
      <c r="B39" s="14"/>
      <c r="C39" s="13"/>
      <c r="D39" s="14"/>
      <c r="H39" s="14"/>
      <c r="N39" s="8">
        <f t="shared" si="17"/>
        <v>0</v>
      </c>
      <c r="P39" s="8">
        <f t="shared" si="18"/>
        <v>0</v>
      </c>
    </row>
    <row r="40" spans="1:16" ht="30" x14ac:dyDescent="0.25">
      <c r="A40" s="4" t="s">
        <v>43</v>
      </c>
      <c r="B40" s="14"/>
      <c r="C40" s="13"/>
      <c r="D40" s="14"/>
      <c r="H40" s="14"/>
      <c r="N40" s="8">
        <f t="shared" si="17"/>
        <v>0</v>
      </c>
      <c r="P40" s="8">
        <f t="shared" si="18"/>
        <v>0</v>
      </c>
    </row>
    <row r="41" spans="1:16" ht="30" x14ac:dyDescent="0.25">
      <c r="A41" s="4" t="s">
        <v>27</v>
      </c>
      <c r="B41" s="14"/>
      <c r="C41" s="13"/>
      <c r="D41" s="14"/>
      <c r="H41" s="14"/>
      <c r="N41" s="8">
        <f t="shared" si="17"/>
        <v>0</v>
      </c>
      <c r="P41" s="8">
        <f t="shared" si="18"/>
        <v>0</v>
      </c>
    </row>
    <row r="42" spans="1:16" ht="30" x14ac:dyDescent="0.25">
      <c r="A42" s="4" t="s">
        <v>44</v>
      </c>
      <c r="B42" s="14"/>
      <c r="C42" s="13"/>
      <c r="D42" s="14"/>
      <c r="H42" s="14"/>
      <c r="N42" s="8">
        <f t="shared" si="17"/>
        <v>0</v>
      </c>
      <c r="P42" s="8">
        <f t="shared" si="18"/>
        <v>0</v>
      </c>
    </row>
    <row r="43" spans="1:16" s="19" customFormat="1" x14ac:dyDescent="0.25">
      <c r="A43" s="3" t="s">
        <v>45</v>
      </c>
      <c r="B43" s="28">
        <f>SUM(B44:B50)</f>
        <v>0</v>
      </c>
      <c r="C43" s="30">
        <f t="shared" ref="C43:O43" si="19">SUM(C44:C50)</f>
        <v>0</v>
      </c>
      <c r="D43" s="28">
        <f t="shared" si="19"/>
        <v>0</v>
      </c>
      <c r="E43" s="29">
        <f>SUM(E44:E50)</f>
        <v>0</v>
      </c>
      <c r="F43" s="29">
        <f t="shared" si="19"/>
        <v>0</v>
      </c>
      <c r="G43" s="29">
        <f t="shared" si="19"/>
        <v>0</v>
      </c>
      <c r="H43" s="28">
        <f t="shared" si="19"/>
        <v>0</v>
      </c>
      <c r="I43" s="29">
        <f t="shared" si="19"/>
        <v>0</v>
      </c>
      <c r="J43" s="29">
        <f t="shared" si="19"/>
        <v>0</v>
      </c>
      <c r="K43" s="29">
        <f t="shared" si="19"/>
        <v>0</v>
      </c>
      <c r="L43" s="29">
        <f t="shared" si="19"/>
        <v>0</v>
      </c>
      <c r="M43" s="29">
        <f t="shared" si="19"/>
        <v>0</v>
      </c>
      <c r="N43" s="29">
        <f t="shared" si="19"/>
        <v>0</v>
      </c>
      <c r="O43" s="29">
        <f t="shared" si="19"/>
        <v>0</v>
      </c>
      <c r="P43" s="29">
        <f>SUM(D43:O43)</f>
        <v>0</v>
      </c>
    </row>
    <row r="44" spans="1:16" x14ac:dyDescent="0.25">
      <c r="A44" s="4" t="s">
        <v>46</v>
      </c>
      <c r="B44" s="14"/>
      <c r="C44" s="13"/>
      <c r="D44" s="14"/>
      <c r="H44" s="14"/>
      <c r="N44" s="8">
        <f t="shared" si="17"/>
        <v>0</v>
      </c>
      <c r="P44" s="8">
        <f>SUM(D44:O44)</f>
        <v>0</v>
      </c>
    </row>
    <row r="45" spans="1:16" ht="30" x14ac:dyDescent="0.25">
      <c r="A45" s="4" t="s">
        <v>47</v>
      </c>
      <c r="B45" s="14"/>
      <c r="C45" s="13"/>
      <c r="D45" s="14"/>
      <c r="H45" s="14"/>
      <c r="N45" s="8">
        <f t="shared" si="17"/>
        <v>0</v>
      </c>
      <c r="P45" s="8">
        <f t="shared" ref="P45:P50" si="20">SUM(D45:O45)</f>
        <v>0</v>
      </c>
    </row>
    <row r="46" spans="1:16" ht="30" x14ac:dyDescent="0.25">
      <c r="A46" s="4" t="s">
        <v>48</v>
      </c>
      <c r="B46" s="14"/>
      <c r="C46" s="13"/>
      <c r="D46" s="14"/>
      <c r="H46" s="14"/>
      <c r="N46" s="8">
        <f t="shared" si="17"/>
        <v>0</v>
      </c>
      <c r="P46" s="8">
        <f t="shared" si="20"/>
        <v>0</v>
      </c>
    </row>
    <row r="47" spans="1:16" ht="30" x14ac:dyDescent="0.25">
      <c r="A47" s="4" t="s">
        <v>49</v>
      </c>
      <c r="B47" s="14"/>
      <c r="C47" s="13"/>
      <c r="D47" s="14"/>
      <c r="H47" s="14"/>
      <c r="N47" s="8">
        <f t="shared" si="17"/>
        <v>0</v>
      </c>
      <c r="P47" s="8">
        <f t="shared" si="20"/>
        <v>0</v>
      </c>
    </row>
    <row r="48" spans="1:16" ht="30" x14ac:dyDescent="0.25">
      <c r="A48" s="4" t="s">
        <v>50</v>
      </c>
      <c r="B48" s="14"/>
      <c r="C48" s="13"/>
      <c r="D48" s="14"/>
      <c r="H48" s="14"/>
      <c r="N48" s="8">
        <f t="shared" si="17"/>
        <v>0</v>
      </c>
      <c r="P48" s="8">
        <f t="shared" si="20"/>
        <v>0</v>
      </c>
    </row>
    <row r="49" spans="1:16" x14ac:dyDescent="0.25">
      <c r="A49" s="4" t="s">
        <v>51</v>
      </c>
      <c r="B49" s="14"/>
      <c r="C49" s="13"/>
      <c r="D49" s="14"/>
      <c r="H49" s="14"/>
      <c r="N49" s="8">
        <f t="shared" si="17"/>
        <v>0</v>
      </c>
      <c r="P49" s="8">
        <f t="shared" si="20"/>
        <v>0</v>
      </c>
    </row>
    <row r="50" spans="1:16" ht="30" x14ac:dyDescent="0.25">
      <c r="A50" s="4" t="s">
        <v>52</v>
      </c>
      <c r="B50" s="14"/>
      <c r="C50" s="13"/>
      <c r="D50" s="14"/>
      <c r="H50" s="14"/>
      <c r="N50" s="8">
        <f t="shared" si="17"/>
        <v>0</v>
      </c>
      <c r="P50" s="8">
        <f t="shared" si="20"/>
        <v>0</v>
      </c>
    </row>
    <row r="51" spans="1:16" s="19" customFormat="1" x14ac:dyDescent="0.25">
      <c r="A51" s="3" t="s">
        <v>28</v>
      </c>
      <c r="B51" s="28">
        <f>SUM(B52:B60)</f>
        <v>943458</v>
      </c>
      <c r="C51" s="28">
        <f>SUM(C52:C60)</f>
        <v>23493458</v>
      </c>
      <c r="D51" s="28">
        <f>SUM(D52:D60)</f>
        <v>0</v>
      </c>
      <c r="E51" s="29">
        <f>SUM(E52:E60)</f>
        <v>0</v>
      </c>
      <c r="F51" s="29">
        <f t="shared" ref="F51:O51" si="21">SUM(F52:F60)</f>
        <v>721271.88</v>
      </c>
      <c r="G51" s="29">
        <f t="shared" si="21"/>
        <v>0</v>
      </c>
      <c r="H51" s="28">
        <f t="shared" si="21"/>
        <v>0</v>
      </c>
      <c r="I51" s="29">
        <f t="shared" si="21"/>
        <v>0</v>
      </c>
      <c r="J51" s="29">
        <f t="shared" si="21"/>
        <v>0</v>
      </c>
      <c r="K51" s="29">
        <f t="shared" si="21"/>
        <v>0</v>
      </c>
      <c r="L51" s="29">
        <f t="shared" si="21"/>
        <v>0</v>
      </c>
      <c r="M51" s="29">
        <f t="shared" si="21"/>
        <v>0</v>
      </c>
      <c r="N51" s="29">
        <f t="shared" si="21"/>
        <v>0</v>
      </c>
      <c r="O51" s="29">
        <f t="shared" si="21"/>
        <v>0</v>
      </c>
      <c r="P51" s="28">
        <f>SUM(D51:O51)</f>
        <v>721271.88</v>
      </c>
    </row>
    <row r="52" spans="1:16" x14ac:dyDescent="0.25">
      <c r="A52" s="4" t="s">
        <v>29</v>
      </c>
      <c r="B52" s="31">
        <v>915000</v>
      </c>
      <c r="C52" s="31">
        <v>9815000</v>
      </c>
      <c r="D52" s="14"/>
      <c r="F52" s="8">
        <f>697471.89-D52-E52</f>
        <v>697471.89</v>
      </c>
      <c r="G52" s="8">
        <f>697471.89-D52-E52-F52</f>
        <v>0</v>
      </c>
      <c r="H52" s="14"/>
      <c r="P52" s="8">
        <f>SUM(D52:O52)</f>
        <v>697471.89</v>
      </c>
    </row>
    <row r="53" spans="1:16" ht="30" x14ac:dyDescent="0.25">
      <c r="A53" s="4" t="s">
        <v>30</v>
      </c>
      <c r="B53" s="31"/>
      <c r="C53" s="27">
        <v>400000</v>
      </c>
      <c r="D53" s="14"/>
      <c r="F53" s="8">
        <f>23799.99-D53-E53</f>
        <v>23799.99</v>
      </c>
      <c r="G53" s="8">
        <f>23799.99-D53-E53-F53</f>
        <v>0</v>
      </c>
      <c r="H53" s="14"/>
      <c r="P53" s="8">
        <f t="shared" ref="P53:P59" si="22">SUM(D53:O53)</f>
        <v>23799.99</v>
      </c>
    </row>
    <row r="54" spans="1:16" ht="30" x14ac:dyDescent="0.25">
      <c r="A54" s="4" t="s">
        <v>31</v>
      </c>
      <c r="B54" s="31">
        <v>0</v>
      </c>
      <c r="C54" s="27">
        <v>0</v>
      </c>
      <c r="D54" s="14"/>
      <c r="F54" s="8">
        <f t="shared" ref="F54:F60" si="23">0-D54-E54</f>
        <v>0</v>
      </c>
      <c r="G54" s="8">
        <f t="shared" ref="G54:G60" si="24">0-D54-E54-F54</f>
        <v>0</v>
      </c>
      <c r="H54" s="14"/>
      <c r="P54" s="8">
        <f t="shared" si="22"/>
        <v>0</v>
      </c>
    </row>
    <row r="55" spans="1:16" ht="30" x14ac:dyDescent="0.25">
      <c r="A55" s="4" t="s">
        <v>32</v>
      </c>
      <c r="B55" s="31">
        <v>0</v>
      </c>
      <c r="C55" s="27">
        <v>0</v>
      </c>
      <c r="D55" s="14"/>
      <c r="F55" s="8">
        <f t="shared" si="23"/>
        <v>0</v>
      </c>
      <c r="G55" s="8">
        <f t="shared" si="24"/>
        <v>0</v>
      </c>
      <c r="H55" s="14"/>
      <c r="P55" s="8">
        <f t="shared" si="22"/>
        <v>0</v>
      </c>
    </row>
    <row r="56" spans="1:16" ht="17.100000000000001" customHeight="1" x14ac:dyDescent="0.25">
      <c r="A56" s="4" t="s">
        <v>33</v>
      </c>
      <c r="B56" s="31">
        <v>28458</v>
      </c>
      <c r="C56" s="31">
        <v>2778458</v>
      </c>
      <c r="D56" s="14"/>
      <c r="F56" s="8">
        <f t="shared" si="23"/>
        <v>0</v>
      </c>
      <c r="G56" s="8">
        <f t="shared" si="24"/>
        <v>0</v>
      </c>
      <c r="H56" s="14"/>
      <c r="P56" s="8">
        <f t="shared" si="22"/>
        <v>0</v>
      </c>
    </row>
    <row r="57" spans="1:16" ht="17.100000000000001" customHeight="1" x14ac:dyDescent="0.25">
      <c r="A57" s="4" t="s">
        <v>53</v>
      </c>
      <c r="B57" s="31">
        <v>0</v>
      </c>
      <c r="C57" s="27">
        <v>1500000</v>
      </c>
      <c r="D57" s="14"/>
      <c r="F57" s="8">
        <f t="shared" si="23"/>
        <v>0</v>
      </c>
      <c r="G57" s="8">
        <f t="shared" si="24"/>
        <v>0</v>
      </c>
      <c r="H57" s="14"/>
      <c r="P57" s="8">
        <f t="shared" si="22"/>
        <v>0</v>
      </c>
    </row>
    <row r="58" spans="1:16" x14ac:dyDescent="0.25">
      <c r="A58" s="4" t="s">
        <v>54</v>
      </c>
      <c r="B58" s="31">
        <v>0</v>
      </c>
      <c r="C58" s="27">
        <v>0</v>
      </c>
      <c r="D58" s="14"/>
      <c r="F58" s="8">
        <f t="shared" si="23"/>
        <v>0</v>
      </c>
      <c r="G58" s="8">
        <f t="shared" si="24"/>
        <v>0</v>
      </c>
      <c r="H58" s="14"/>
      <c r="P58" s="8">
        <f t="shared" si="22"/>
        <v>0</v>
      </c>
    </row>
    <row r="59" spans="1:16" x14ac:dyDescent="0.25">
      <c r="A59" s="4" t="s">
        <v>34</v>
      </c>
      <c r="B59" s="31"/>
      <c r="C59" s="27">
        <v>7000000</v>
      </c>
      <c r="D59" s="14"/>
      <c r="F59" s="8">
        <f t="shared" si="23"/>
        <v>0</v>
      </c>
      <c r="G59" s="8">
        <f t="shared" si="24"/>
        <v>0</v>
      </c>
      <c r="H59" s="14"/>
      <c r="P59" s="8">
        <f t="shared" si="22"/>
        <v>0</v>
      </c>
    </row>
    <row r="60" spans="1:16" ht="30" x14ac:dyDescent="0.25">
      <c r="A60" s="4" t="s">
        <v>55</v>
      </c>
      <c r="B60" s="31">
        <v>0</v>
      </c>
      <c r="C60" s="27">
        <v>2000000</v>
      </c>
      <c r="D60" s="14"/>
      <c r="F60" s="8">
        <f t="shared" si="23"/>
        <v>0</v>
      </c>
      <c r="G60" s="8">
        <f t="shared" si="24"/>
        <v>0</v>
      </c>
      <c r="H60" s="14"/>
      <c r="P60" s="8">
        <f>SUM(D60:O60)</f>
        <v>0</v>
      </c>
    </row>
    <row r="61" spans="1:16" s="19" customFormat="1" x14ac:dyDescent="0.25">
      <c r="A61" s="3" t="s">
        <v>56</v>
      </c>
      <c r="B61" s="28">
        <f>SUM(B62:B65)</f>
        <v>0</v>
      </c>
      <c r="C61" s="30">
        <f t="shared" ref="C61:D61" si="25">SUM(C62:C65)</f>
        <v>0</v>
      </c>
      <c r="D61" s="28">
        <f t="shared" si="25"/>
        <v>0</v>
      </c>
      <c r="E61" s="29">
        <f>SUM(E62:E65)</f>
        <v>0</v>
      </c>
      <c r="F61" s="29">
        <f t="shared" ref="F61:O61" si="26">SUM(F62:F65)</f>
        <v>0</v>
      </c>
      <c r="G61" s="29">
        <f t="shared" si="26"/>
        <v>0</v>
      </c>
      <c r="H61" s="28">
        <f t="shared" si="26"/>
        <v>0</v>
      </c>
      <c r="I61" s="29">
        <f t="shared" si="26"/>
        <v>0</v>
      </c>
      <c r="J61" s="29">
        <f t="shared" si="26"/>
        <v>0</v>
      </c>
      <c r="K61" s="29">
        <f t="shared" si="26"/>
        <v>0</v>
      </c>
      <c r="L61" s="29">
        <f t="shared" si="26"/>
        <v>0</v>
      </c>
      <c r="M61" s="29">
        <f t="shared" si="26"/>
        <v>0</v>
      </c>
      <c r="N61" s="29">
        <f t="shared" si="26"/>
        <v>0</v>
      </c>
      <c r="O61" s="29">
        <f t="shared" si="26"/>
        <v>0</v>
      </c>
      <c r="P61" s="29">
        <f>SUM(D61:O61)</f>
        <v>0</v>
      </c>
    </row>
    <row r="62" spans="1:16" x14ac:dyDescent="0.25">
      <c r="A62" s="4" t="s">
        <v>57</v>
      </c>
      <c r="B62" s="14"/>
      <c r="C62" s="13"/>
      <c r="D62" s="14"/>
      <c r="H62" s="14"/>
      <c r="P62" s="8">
        <f>SUM(D62:O62)</f>
        <v>0</v>
      </c>
    </row>
    <row r="63" spans="1:16" x14ac:dyDescent="0.25">
      <c r="A63" s="4" t="s">
        <v>58</v>
      </c>
      <c r="B63" s="14">
        <v>0</v>
      </c>
      <c r="C63" s="13">
        <v>0</v>
      </c>
      <c r="D63" s="14"/>
      <c r="H63" s="14"/>
      <c r="P63" s="8">
        <f t="shared" ref="P63:P65" si="27">SUM(D63:O63)</f>
        <v>0</v>
      </c>
    </row>
    <row r="64" spans="1:16" x14ac:dyDescent="0.25">
      <c r="A64" s="4" t="s">
        <v>59</v>
      </c>
      <c r="B64" s="14">
        <v>0</v>
      </c>
      <c r="C64" s="13">
        <v>0</v>
      </c>
      <c r="D64" s="14"/>
      <c r="H64" s="14"/>
      <c r="P64" s="8">
        <f t="shared" si="27"/>
        <v>0</v>
      </c>
    </row>
    <row r="65" spans="1:16" ht="30" x14ac:dyDescent="0.25">
      <c r="A65" s="4" t="s">
        <v>60</v>
      </c>
      <c r="B65" s="14">
        <v>0</v>
      </c>
      <c r="C65" s="13">
        <v>0</v>
      </c>
      <c r="D65" s="14"/>
      <c r="H65" s="14"/>
      <c r="P65" s="8">
        <f t="shared" si="27"/>
        <v>0</v>
      </c>
    </row>
    <row r="66" spans="1:16" s="19" customFormat="1" ht="30" x14ac:dyDescent="0.25">
      <c r="A66" s="3" t="s">
        <v>61</v>
      </c>
      <c r="B66" s="28">
        <f>SUM(B67:B68)</f>
        <v>0</v>
      </c>
      <c r="C66" s="30">
        <f t="shared" ref="C66:O66" si="28">SUM(C67:C68)</f>
        <v>0</v>
      </c>
      <c r="D66" s="28">
        <f t="shared" si="28"/>
        <v>0</v>
      </c>
      <c r="E66" s="29">
        <f>SUM(E67:E68)</f>
        <v>0</v>
      </c>
      <c r="F66" s="29">
        <f t="shared" si="28"/>
        <v>0</v>
      </c>
      <c r="G66" s="29">
        <f t="shared" si="28"/>
        <v>0</v>
      </c>
      <c r="H66" s="28">
        <f t="shared" si="28"/>
        <v>0</v>
      </c>
      <c r="I66" s="29">
        <f t="shared" si="28"/>
        <v>0</v>
      </c>
      <c r="J66" s="29">
        <f t="shared" si="28"/>
        <v>0</v>
      </c>
      <c r="K66" s="29">
        <f t="shared" si="28"/>
        <v>0</v>
      </c>
      <c r="L66" s="29">
        <f t="shared" si="28"/>
        <v>0</v>
      </c>
      <c r="M66" s="29">
        <f t="shared" si="28"/>
        <v>0</v>
      </c>
      <c r="N66" s="29">
        <f t="shared" si="28"/>
        <v>0</v>
      </c>
      <c r="O66" s="29">
        <f t="shared" si="28"/>
        <v>0</v>
      </c>
      <c r="P66" s="29">
        <f>SUM(D66:O66)</f>
        <v>0</v>
      </c>
    </row>
    <row r="67" spans="1:16" x14ac:dyDescent="0.25">
      <c r="A67" s="4" t="s">
        <v>62</v>
      </c>
      <c r="B67" s="14">
        <v>0</v>
      </c>
      <c r="C67" s="13">
        <v>0</v>
      </c>
      <c r="D67" s="14">
        <v>0</v>
      </c>
      <c r="H67" s="14"/>
      <c r="N67" s="8">
        <f t="shared" si="17"/>
        <v>0</v>
      </c>
      <c r="P67" s="8">
        <f>SUM(D67:O67)</f>
        <v>0</v>
      </c>
    </row>
    <row r="68" spans="1:16" ht="30" x14ac:dyDescent="0.25">
      <c r="A68" s="4" t="s">
        <v>63</v>
      </c>
      <c r="B68" s="14">
        <v>0</v>
      </c>
      <c r="C68" s="13"/>
      <c r="D68" s="14">
        <v>0</v>
      </c>
      <c r="H68" s="14"/>
      <c r="N68" s="8">
        <f t="shared" si="17"/>
        <v>0</v>
      </c>
      <c r="P68" s="8">
        <f t="shared" ref="P68:P72" si="29">SUM(D68:O68)</f>
        <v>0</v>
      </c>
    </row>
    <row r="69" spans="1:16" s="19" customFormat="1" x14ac:dyDescent="0.25">
      <c r="A69" s="3" t="s">
        <v>64</v>
      </c>
      <c r="B69" s="11">
        <f>SUM(B70:B72)</f>
        <v>0</v>
      </c>
      <c r="C69" s="12">
        <f t="shared" ref="C69:O69" si="30">SUM(C70:C72)</f>
        <v>0</v>
      </c>
      <c r="D69" s="11">
        <f t="shared" si="30"/>
        <v>0</v>
      </c>
      <c r="E69" s="9">
        <f>SUM(E70:E72)</f>
        <v>0</v>
      </c>
      <c r="F69" s="9">
        <f t="shared" si="30"/>
        <v>0</v>
      </c>
      <c r="G69" s="9">
        <f t="shared" si="30"/>
        <v>0</v>
      </c>
      <c r="H69" s="11">
        <f t="shared" si="30"/>
        <v>0</v>
      </c>
      <c r="I69" s="9">
        <f t="shared" si="30"/>
        <v>0</v>
      </c>
      <c r="J69" s="9">
        <f t="shared" si="30"/>
        <v>0</v>
      </c>
      <c r="K69" s="9">
        <f t="shared" si="30"/>
        <v>0</v>
      </c>
      <c r="L69" s="9">
        <f t="shared" si="30"/>
        <v>0</v>
      </c>
      <c r="M69" s="9">
        <f t="shared" si="30"/>
        <v>0</v>
      </c>
      <c r="N69" s="9">
        <f t="shared" si="30"/>
        <v>0</v>
      </c>
      <c r="O69" s="9">
        <f t="shared" si="30"/>
        <v>0</v>
      </c>
      <c r="P69" s="9">
        <f t="shared" si="29"/>
        <v>0</v>
      </c>
    </row>
    <row r="70" spans="1:16" x14ac:dyDescent="0.25">
      <c r="A70" s="4" t="s">
        <v>65</v>
      </c>
      <c r="B70" s="14">
        <v>0</v>
      </c>
      <c r="C70" s="13">
        <v>0</v>
      </c>
      <c r="D70" s="14">
        <v>0</v>
      </c>
      <c r="H70" s="14"/>
      <c r="N70" s="8">
        <f t="shared" si="17"/>
        <v>0</v>
      </c>
      <c r="P70" s="8">
        <f t="shared" si="29"/>
        <v>0</v>
      </c>
    </row>
    <row r="71" spans="1:16" x14ac:dyDescent="0.25">
      <c r="A71" s="4" t="s">
        <v>66</v>
      </c>
      <c r="B71" s="14">
        <v>0</v>
      </c>
      <c r="C71" s="13">
        <v>0</v>
      </c>
      <c r="D71" s="14">
        <v>0</v>
      </c>
      <c r="H71" s="14"/>
      <c r="N71" s="8">
        <f t="shared" si="17"/>
        <v>0</v>
      </c>
      <c r="P71" s="8">
        <f t="shared" si="29"/>
        <v>0</v>
      </c>
    </row>
    <row r="72" spans="1:16" ht="30" x14ac:dyDescent="0.25">
      <c r="A72" s="4" t="s">
        <v>67</v>
      </c>
      <c r="B72" s="14">
        <v>0</v>
      </c>
      <c r="C72" s="13">
        <v>0</v>
      </c>
      <c r="D72" s="14">
        <v>0</v>
      </c>
      <c r="H72" s="14"/>
      <c r="N72" s="8">
        <f t="shared" si="17"/>
        <v>0</v>
      </c>
      <c r="P72" s="8">
        <f t="shared" si="29"/>
        <v>0</v>
      </c>
    </row>
    <row r="73" spans="1:16" x14ac:dyDescent="0.25">
      <c r="A73" s="5" t="s">
        <v>35</v>
      </c>
      <c r="B73" s="15">
        <f>SUM(B9,B15,B25,B35,B43,B51,B61,B66,B69)</f>
        <v>354000000</v>
      </c>
      <c r="C73" s="15">
        <f t="shared" ref="C73:O73" si="31">SUM(C9,C15,C25,C35,C43,C51,C61,C66,C69)</f>
        <v>471119128.90999997</v>
      </c>
      <c r="D73" s="15">
        <f t="shared" si="31"/>
        <v>11851531.859999999</v>
      </c>
      <c r="E73" s="16">
        <f t="shared" si="31"/>
        <v>14871649.939999999</v>
      </c>
      <c r="F73" s="16">
        <f t="shared" si="31"/>
        <v>21584749.810000002</v>
      </c>
      <c r="G73" s="16">
        <f t="shared" si="31"/>
        <v>17856496.849999994</v>
      </c>
      <c r="H73" s="15">
        <f t="shared" si="31"/>
        <v>0</v>
      </c>
      <c r="I73" s="16">
        <f t="shared" si="31"/>
        <v>0</v>
      </c>
      <c r="J73" s="16">
        <f t="shared" si="31"/>
        <v>0</v>
      </c>
      <c r="K73" s="16">
        <f t="shared" si="31"/>
        <v>0</v>
      </c>
      <c r="L73" s="16">
        <f t="shared" si="31"/>
        <v>0</v>
      </c>
      <c r="M73" s="16">
        <f t="shared" si="31"/>
        <v>0</v>
      </c>
      <c r="N73" s="16">
        <f t="shared" si="31"/>
        <v>0</v>
      </c>
      <c r="O73" s="16">
        <f t="shared" si="31"/>
        <v>0</v>
      </c>
      <c r="P73" s="16">
        <f>SUM(D73:O73)</f>
        <v>66164428.459999993</v>
      </c>
    </row>
    <row r="74" spans="1:16" ht="9" customHeight="1" x14ac:dyDescent="0.25">
      <c r="A74" s="6"/>
      <c r="B74" s="14"/>
      <c r="C74" s="13"/>
      <c r="D74" s="14"/>
      <c r="H74" s="14"/>
    </row>
    <row r="75" spans="1:16" ht="19.5" customHeight="1" x14ac:dyDescent="0.25">
      <c r="A75" s="2" t="s">
        <v>68</v>
      </c>
      <c r="B75" s="10">
        <f>SUM(B76,B79,B82)</f>
        <v>0</v>
      </c>
      <c r="C75" s="10">
        <f t="shared" ref="C75:O75" si="32">SUM(C76,C79,C82)</f>
        <v>0</v>
      </c>
      <c r="D75" s="10">
        <f t="shared" si="32"/>
        <v>0</v>
      </c>
      <c r="E75" s="17">
        <f t="shared" si="32"/>
        <v>0</v>
      </c>
      <c r="F75" s="17">
        <f t="shared" si="32"/>
        <v>0</v>
      </c>
      <c r="G75" s="17">
        <f t="shared" si="32"/>
        <v>0</v>
      </c>
      <c r="H75" s="10">
        <f t="shared" si="32"/>
        <v>0</v>
      </c>
      <c r="I75" s="17">
        <f t="shared" si="32"/>
        <v>0</v>
      </c>
      <c r="J75" s="17">
        <f t="shared" si="32"/>
        <v>0</v>
      </c>
      <c r="K75" s="17">
        <f t="shared" si="32"/>
        <v>0</v>
      </c>
      <c r="L75" s="17">
        <f t="shared" si="32"/>
        <v>0</v>
      </c>
      <c r="M75" s="17">
        <f t="shared" si="32"/>
        <v>0</v>
      </c>
      <c r="N75" s="17">
        <f t="shared" si="32"/>
        <v>0</v>
      </c>
      <c r="O75" s="17">
        <f t="shared" si="32"/>
        <v>0</v>
      </c>
      <c r="P75" s="17">
        <f>SUM(D75:O75)</f>
        <v>0</v>
      </c>
    </row>
    <row r="76" spans="1:16" x14ac:dyDescent="0.25">
      <c r="A76" s="3" t="s">
        <v>69</v>
      </c>
      <c r="B76" s="11">
        <f>SUM(B77:B78)</f>
        <v>0</v>
      </c>
      <c r="C76" s="13">
        <f t="shared" ref="C76:O76" si="33">SUM(C77:C78)</f>
        <v>0</v>
      </c>
      <c r="D76" s="11">
        <f t="shared" si="33"/>
        <v>0</v>
      </c>
      <c r="E76" s="8">
        <f t="shared" si="33"/>
        <v>0</v>
      </c>
      <c r="F76" s="8">
        <f t="shared" si="33"/>
        <v>0</v>
      </c>
      <c r="G76" s="8">
        <f t="shared" si="33"/>
        <v>0</v>
      </c>
      <c r="H76" s="11">
        <f t="shared" si="33"/>
        <v>0</v>
      </c>
      <c r="I76" s="8">
        <f t="shared" si="33"/>
        <v>0</v>
      </c>
      <c r="J76" s="8">
        <f t="shared" si="33"/>
        <v>0</v>
      </c>
      <c r="K76" s="8">
        <f t="shared" si="33"/>
        <v>0</v>
      </c>
      <c r="L76" s="8">
        <f t="shared" si="33"/>
        <v>0</v>
      </c>
      <c r="M76" s="8">
        <f t="shared" si="33"/>
        <v>0</v>
      </c>
      <c r="N76" s="8">
        <f t="shared" si="33"/>
        <v>0</v>
      </c>
      <c r="O76" s="8">
        <f t="shared" si="33"/>
        <v>0</v>
      </c>
      <c r="P76" s="9">
        <f>SUM(D76:O76)</f>
        <v>0</v>
      </c>
    </row>
    <row r="77" spans="1:16" ht="30" x14ac:dyDescent="0.25">
      <c r="A77" s="4" t="s">
        <v>70</v>
      </c>
      <c r="B77" s="11">
        <v>0</v>
      </c>
      <c r="C77" s="13">
        <v>0</v>
      </c>
      <c r="D77" s="14">
        <v>0</v>
      </c>
      <c r="E77" s="8">
        <v>0</v>
      </c>
      <c r="F77" s="8">
        <v>0</v>
      </c>
      <c r="G77" s="8">
        <v>0</v>
      </c>
      <c r="H77" s="14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f>SUM(D77:O77)</f>
        <v>0</v>
      </c>
    </row>
    <row r="78" spans="1:16" ht="30" x14ac:dyDescent="0.25">
      <c r="A78" s="4" t="s">
        <v>71</v>
      </c>
      <c r="B78" s="14"/>
      <c r="C78" s="13"/>
      <c r="D78" s="14"/>
      <c r="H78" s="14"/>
      <c r="P78" s="8">
        <f t="shared" ref="P78:P81" si="34">SUM(D78:O78)</f>
        <v>0</v>
      </c>
    </row>
    <row r="79" spans="1:16" x14ac:dyDescent="0.25">
      <c r="A79" s="3" t="s">
        <v>72</v>
      </c>
      <c r="B79" s="11">
        <f>SUM(B80:B81)</f>
        <v>0</v>
      </c>
      <c r="C79" s="13">
        <f t="shared" ref="C79:O79" si="35">SUM(C80:C81)</f>
        <v>0</v>
      </c>
      <c r="D79" s="11">
        <f t="shared" si="35"/>
        <v>0</v>
      </c>
      <c r="E79" s="8">
        <f t="shared" si="35"/>
        <v>0</v>
      </c>
      <c r="F79" s="8">
        <f t="shared" si="35"/>
        <v>0</v>
      </c>
      <c r="G79" s="8">
        <f t="shared" si="35"/>
        <v>0</v>
      </c>
      <c r="H79" s="11">
        <f t="shared" si="35"/>
        <v>0</v>
      </c>
      <c r="I79" s="8">
        <f t="shared" si="35"/>
        <v>0</v>
      </c>
      <c r="J79" s="8">
        <f t="shared" si="35"/>
        <v>0</v>
      </c>
      <c r="K79" s="8">
        <f t="shared" si="35"/>
        <v>0</v>
      </c>
      <c r="L79" s="8">
        <f t="shared" si="35"/>
        <v>0</v>
      </c>
      <c r="M79" s="8">
        <f t="shared" si="35"/>
        <v>0</v>
      </c>
      <c r="N79" s="8">
        <f t="shared" si="35"/>
        <v>0</v>
      </c>
      <c r="O79" s="8">
        <f t="shared" si="35"/>
        <v>0</v>
      </c>
      <c r="P79" s="8">
        <f t="shared" si="34"/>
        <v>0</v>
      </c>
    </row>
    <row r="80" spans="1:16" x14ac:dyDescent="0.25">
      <c r="A80" s="4" t="s">
        <v>73</v>
      </c>
      <c r="B80" s="14"/>
      <c r="C80" s="13"/>
      <c r="D80" s="14"/>
      <c r="H80" s="14"/>
      <c r="P80" s="8">
        <f t="shared" si="34"/>
        <v>0</v>
      </c>
    </row>
    <row r="81" spans="1:16" x14ac:dyDescent="0.25">
      <c r="A81" s="4" t="s">
        <v>74</v>
      </c>
      <c r="B81" s="14"/>
      <c r="C81" s="13"/>
      <c r="D81" s="14"/>
      <c r="H81" s="14"/>
      <c r="P81" s="8">
        <f t="shared" si="34"/>
        <v>0</v>
      </c>
    </row>
    <row r="82" spans="1:16" x14ac:dyDescent="0.25">
      <c r="A82" s="3" t="s">
        <v>75</v>
      </c>
      <c r="B82" s="11">
        <f>SUM(B83)</f>
        <v>0</v>
      </c>
      <c r="C82" s="13">
        <f t="shared" ref="C82:O82" si="36">SUM(C83)</f>
        <v>0</v>
      </c>
      <c r="D82" s="11">
        <f t="shared" si="36"/>
        <v>0</v>
      </c>
      <c r="E82" s="8">
        <f t="shared" si="36"/>
        <v>0</v>
      </c>
      <c r="F82" s="8">
        <f t="shared" si="36"/>
        <v>0</v>
      </c>
      <c r="G82" s="8">
        <f t="shared" si="36"/>
        <v>0</v>
      </c>
      <c r="H82" s="11">
        <f t="shared" si="36"/>
        <v>0</v>
      </c>
      <c r="I82" s="8">
        <f t="shared" si="36"/>
        <v>0</v>
      </c>
      <c r="J82" s="8">
        <f t="shared" si="36"/>
        <v>0</v>
      </c>
      <c r="K82" s="8">
        <f t="shared" si="36"/>
        <v>0</v>
      </c>
      <c r="L82" s="8">
        <f t="shared" si="36"/>
        <v>0</v>
      </c>
      <c r="M82" s="8">
        <f t="shared" si="36"/>
        <v>0</v>
      </c>
      <c r="N82" s="8">
        <f t="shared" si="36"/>
        <v>0</v>
      </c>
      <c r="O82" s="8">
        <f t="shared" si="36"/>
        <v>0</v>
      </c>
      <c r="P82" s="9">
        <f>SUM(D82:O82)</f>
        <v>0</v>
      </c>
    </row>
    <row r="83" spans="1:16" x14ac:dyDescent="0.25">
      <c r="A83" s="4" t="s">
        <v>76</v>
      </c>
      <c r="B83" s="14"/>
      <c r="C83" s="13"/>
      <c r="D83" s="14"/>
      <c r="H83" s="14"/>
      <c r="P83" s="8">
        <f>SUM(D83:O83)</f>
        <v>0</v>
      </c>
    </row>
    <row r="84" spans="1:16" x14ac:dyDescent="0.25">
      <c r="A84" s="5" t="s">
        <v>77</v>
      </c>
      <c r="B84" s="15">
        <f>SUM(B76,B79,B82)</f>
        <v>0</v>
      </c>
      <c r="C84" s="15">
        <f t="shared" ref="C84:O84" si="37">SUM(C76,C79,C82)</f>
        <v>0</v>
      </c>
      <c r="D84" s="15">
        <f t="shared" si="37"/>
        <v>0</v>
      </c>
      <c r="E84" s="16">
        <f t="shared" si="37"/>
        <v>0</v>
      </c>
      <c r="F84" s="16">
        <f t="shared" si="37"/>
        <v>0</v>
      </c>
      <c r="G84" s="16">
        <f t="shared" si="37"/>
        <v>0</v>
      </c>
      <c r="H84" s="15">
        <f t="shared" si="37"/>
        <v>0</v>
      </c>
      <c r="I84" s="16">
        <f t="shared" si="37"/>
        <v>0</v>
      </c>
      <c r="J84" s="16">
        <f t="shared" si="37"/>
        <v>0</v>
      </c>
      <c r="K84" s="16">
        <f t="shared" si="37"/>
        <v>0</v>
      </c>
      <c r="L84" s="16">
        <f t="shared" si="37"/>
        <v>0</v>
      </c>
      <c r="M84" s="16">
        <f t="shared" si="37"/>
        <v>0</v>
      </c>
      <c r="N84" s="16">
        <f t="shared" si="37"/>
        <v>0</v>
      </c>
      <c r="O84" s="16">
        <f t="shared" si="37"/>
        <v>0</v>
      </c>
      <c r="P84" s="16">
        <f>SUM(D84:O84)</f>
        <v>0</v>
      </c>
    </row>
    <row r="85" spans="1:16" x14ac:dyDescent="0.25">
      <c r="A85" s="7"/>
      <c r="B85" s="13"/>
      <c r="C85" s="13"/>
      <c r="D85" s="13"/>
      <c r="H85" s="13"/>
    </row>
    <row r="86" spans="1:16" ht="15.75" thickBot="1" x14ac:dyDescent="0.3">
      <c r="A86" s="22" t="s">
        <v>78</v>
      </c>
      <c r="B86" s="23">
        <f>SUM(B84)+B73</f>
        <v>354000000</v>
      </c>
      <c r="C86" s="23">
        <f t="shared" ref="C86:D86" si="38">SUM(C84)+C73</f>
        <v>471119128.90999997</v>
      </c>
      <c r="D86" s="23">
        <f t="shared" si="38"/>
        <v>11851531.859999999</v>
      </c>
      <c r="E86" s="23">
        <f t="shared" ref="E86:O86" si="39">SUM(E84)+E73</f>
        <v>14871649.939999999</v>
      </c>
      <c r="F86" s="23">
        <f t="shared" si="39"/>
        <v>21584749.810000002</v>
      </c>
      <c r="G86" s="23">
        <f t="shared" si="39"/>
        <v>17856496.849999994</v>
      </c>
      <c r="H86" s="23">
        <f t="shared" si="39"/>
        <v>0</v>
      </c>
      <c r="I86" s="23">
        <f t="shared" si="39"/>
        <v>0</v>
      </c>
      <c r="J86" s="23">
        <f t="shared" si="39"/>
        <v>0</v>
      </c>
      <c r="K86" s="23">
        <f t="shared" si="39"/>
        <v>0</v>
      </c>
      <c r="L86" s="23">
        <f t="shared" si="39"/>
        <v>0</v>
      </c>
      <c r="M86" s="23">
        <f t="shared" si="39"/>
        <v>0</v>
      </c>
      <c r="N86" s="23">
        <f t="shared" si="39"/>
        <v>0</v>
      </c>
      <c r="O86" s="23">
        <f t="shared" si="39"/>
        <v>0</v>
      </c>
      <c r="P86" s="23">
        <f>SUM(D86:O86)</f>
        <v>66164428.459999993</v>
      </c>
    </row>
    <row r="87" spans="1:16" ht="15.75" x14ac:dyDescent="0.25">
      <c r="A87" s="35" t="s">
        <v>91</v>
      </c>
    </row>
    <row r="88" spans="1:16" x14ac:dyDescent="0.25">
      <c r="A88" s="34" t="s">
        <v>93</v>
      </c>
    </row>
    <row r="89" spans="1:16" x14ac:dyDescent="0.25">
      <c r="A89" s="34" t="s">
        <v>94</v>
      </c>
    </row>
    <row r="90" spans="1:16" x14ac:dyDescent="0.25">
      <c r="A90" s="34" t="s">
        <v>92</v>
      </c>
    </row>
    <row r="91" spans="1:16" x14ac:dyDescent="0.25">
      <c r="A91" s="34" t="s">
        <v>95</v>
      </c>
    </row>
    <row r="92" spans="1:16" x14ac:dyDescent="0.25">
      <c r="A92" s="34" t="s">
        <v>96</v>
      </c>
    </row>
    <row r="93" spans="1:16" x14ac:dyDescent="0.25">
      <c r="A93" t="s">
        <v>103</v>
      </c>
    </row>
    <row r="96" spans="1:16" x14ac:dyDescent="0.25">
      <c r="A96" s="53" t="s">
        <v>105</v>
      </c>
      <c r="B96" s="54" t="s">
        <v>104</v>
      </c>
      <c r="C96" s="53"/>
      <c r="D96" s="53"/>
      <c r="E96" s="55"/>
      <c r="F96" s="55" t="s">
        <v>106</v>
      </c>
    </row>
    <row r="97" spans="1:16" s="59" customFormat="1" ht="14.25" x14ac:dyDescent="0.2">
      <c r="A97" s="56" t="s">
        <v>107</v>
      </c>
      <c r="B97" s="57" t="s">
        <v>108</v>
      </c>
      <c r="C97" s="56"/>
      <c r="D97" s="56"/>
      <c r="E97" s="58"/>
      <c r="F97" s="58" t="s">
        <v>109</v>
      </c>
      <c r="G97" s="58"/>
      <c r="H97" s="58"/>
      <c r="I97" s="58"/>
      <c r="J97" s="58"/>
      <c r="K97" s="58"/>
      <c r="L97" s="58"/>
      <c r="M97" s="58"/>
      <c r="N97" s="58"/>
      <c r="O97" s="58"/>
      <c r="P97" s="58"/>
    </row>
  </sheetData>
  <mergeCells count="8">
    <mergeCell ref="A6:A7"/>
    <mergeCell ref="B6:B7"/>
    <mergeCell ref="C6:C7"/>
    <mergeCell ref="D6:P6"/>
    <mergeCell ref="A1:P1"/>
    <mergeCell ref="A2:P2"/>
    <mergeCell ref="A3:P3"/>
    <mergeCell ref="A4:P4"/>
  </mergeCells>
  <printOptions horizontalCentered="1"/>
  <pageMargins left="0.11811023622047245" right="0.11811023622047245" top="0.35433070866141736" bottom="0.35433070866141736" header="0" footer="0"/>
  <pageSetup scale="69" fitToHeight="2" orientation="portrait" r:id="rId1"/>
  <ignoredErrors>
    <ignoredError sqref="P40:P60 P36:P38 P15:P34 P61:P85 P13 P11:P12 P10 P14" formulaRange="1"/>
    <ignoredError sqref="M25:N25 N61 N35 N51 N15 N66:N71 E21 F28:G28 F30:G30 F32:G32 F35:G35 G15 N37:N4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abril 2025</vt:lpstr>
      <vt:lpstr>'Ejecución abril 2025'!Área_de_impresión</vt:lpstr>
      <vt:lpstr>'Ejecución abril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Gonzalez Brito</cp:lastModifiedBy>
  <cp:lastPrinted>2025-05-02T18:31:35Z</cp:lastPrinted>
  <dcterms:created xsi:type="dcterms:W3CDTF">2018-04-17T18:57:16Z</dcterms:created>
  <dcterms:modified xsi:type="dcterms:W3CDTF">2025-05-02T18:35:46Z</dcterms:modified>
</cp:coreProperties>
</file>