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Finanzas y Contabilidad/Presupuesto/2025/Ejecución Presupuestaria/Julio/"/>
    </mc:Choice>
  </mc:AlternateContent>
  <xr:revisionPtr revIDLastSave="3" documentId="8_{37BAEAA9-3D18-440C-89BD-1BE6CF461BE0}" xr6:coauthVersionLast="47" xr6:coauthVersionMax="47" xr10:uidLastSave="{26CC8B04-BEDF-47A2-A583-B0CB440F1607}"/>
  <bookViews>
    <workbookView xWindow="-28920" yWindow="-6090" windowWidth="29040" windowHeight="15720" tabRatio="713" xr2:uid="{00000000-000D-0000-FFFF-FFFF00000000}"/>
  </bookViews>
  <sheets>
    <sheet name="Ejecución julio 2025" sheetId="4" r:id="rId1"/>
  </sheets>
  <definedNames>
    <definedName name="_xlnm.Print_Area" localSheetId="0">'Ejecución julio 2025'!$A$1:$P$92</definedName>
    <definedName name="_xlnm.Print_Titles" localSheetId="0">'Ejecución julio 2025'!$7:$8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4" l="1"/>
  <c r="F37" i="4" l="1"/>
  <c r="F54" i="4"/>
  <c r="F53" i="4"/>
  <c r="F31" i="4"/>
  <c r="F29" i="4"/>
  <c r="F22" i="4"/>
  <c r="F17" i="4"/>
  <c r="F61" i="4"/>
  <c r="F60" i="4"/>
  <c r="F59" i="4"/>
  <c r="F58" i="4"/>
  <c r="F57" i="4"/>
  <c r="F56" i="4"/>
  <c r="F55" i="4"/>
  <c r="F35" i="4"/>
  <c r="F34" i="4"/>
  <c r="F32" i="4"/>
  <c r="F30" i="4"/>
  <c r="F28" i="4"/>
  <c r="C26" i="4"/>
  <c r="E17" i="4"/>
  <c r="E11" i="4"/>
  <c r="F11" i="4" s="1"/>
  <c r="E33" i="4"/>
  <c r="E27" i="4"/>
  <c r="F27" i="4" s="1"/>
  <c r="E21" i="4"/>
  <c r="E19" i="4"/>
  <c r="F19" i="4" s="1"/>
  <c r="E22" i="4"/>
  <c r="E15" i="4"/>
  <c r="F15" i="4" s="1"/>
  <c r="E12" i="4"/>
  <c r="E20" i="4"/>
  <c r="E25" i="4"/>
  <c r="E24" i="4"/>
  <c r="E23" i="4"/>
  <c r="F23" i="4" s="1"/>
  <c r="E18" i="4"/>
  <c r="E13" i="4"/>
  <c r="E14" i="4"/>
  <c r="G53" i="4" l="1"/>
  <c r="H53" i="4"/>
  <c r="G54" i="4"/>
  <c r="H54" i="4"/>
  <c r="I54" i="4" s="1"/>
  <c r="G55" i="4"/>
  <c r="H55" i="4"/>
  <c r="F21" i="4"/>
  <c r="G21" i="4" s="1"/>
  <c r="G58" i="4"/>
  <c r="H58" i="4" s="1"/>
  <c r="F14" i="4"/>
  <c r="G14" i="4" s="1"/>
  <c r="G20" i="4"/>
  <c r="F18" i="4"/>
  <c r="G61" i="4"/>
  <c r="H61" i="4" s="1"/>
  <c r="I61" i="4" s="1"/>
  <c r="J61" i="4" s="1"/>
  <c r="G34" i="4"/>
  <c r="H34" i="4"/>
  <c r="G56" i="4"/>
  <c r="H56" i="4"/>
  <c r="I56" i="4" s="1"/>
  <c r="G57" i="4"/>
  <c r="H57" i="4" s="1"/>
  <c r="I57" i="4" s="1"/>
  <c r="J57" i="4" s="1"/>
  <c r="G59" i="4"/>
  <c r="H59" i="4" s="1"/>
  <c r="I59" i="4" s="1"/>
  <c r="G60" i="4"/>
  <c r="H60" i="4"/>
  <c r="I60" i="4" s="1"/>
  <c r="G15" i="4"/>
  <c r="H15" i="4" s="1"/>
  <c r="G29" i="4"/>
  <c r="G30" i="4"/>
  <c r="G31" i="4"/>
  <c r="H31" i="4"/>
  <c r="I31" i="4"/>
  <c r="J31" i="4" s="1"/>
  <c r="G27" i="4"/>
  <c r="G35" i="4"/>
  <c r="G37" i="4"/>
  <c r="H37" i="4" s="1"/>
  <c r="G11" i="4"/>
  <c r="H11" i="4"/>
  <c r="I11" i="4"/>
  <c r="J11" i="4" s="1"/>
  <c r="G23" i="4"/>
  <c r="H23" i="4" s="1"/>
  <c r="G17" i="4"/>
  <c r="H17" i="4" s="1"/>
  <c r="F24" i="4"/>
  <c r="F13" i="4"/>
  <c r="F25" i="4"/>
  <c r="G28" i="4"/>
  <c r="H28" i="4" s="1"/>
  <c r="F20" i="4"/>
  <c r="H20" i="4" s="1"/>
  <c r="G22" i="4"/>
  <c r="G19" i="4"/>
  <c r="H19" i="4" s="1"/>
  <c r="G32" i="4"/>
  <c r="F12" i="4"/>
  <c r="F33" i="4"/>
  <c r="G33" i="4" s="1"/>
  <c r="H33" i="4" s="1"/>
  <c r="I33" i="4" s="1"/>
  <c r="N45" i="4"/>
  <c r="N46" i="4"/>
  <c r="N47" i="4"/>
  <c r="N48" i="4"/>
  <c r="N49" i="4"/>
  <c r="N50" i="4"/>
  <c r="N51" i="4"/>
  <c r="N72" i="4"/>
  <c r="N73" i="4"/>
  <c r="N71" i="4"/>
  <c r="N69" i="4"/>
  <c r="N68" i="4"/>
  <c r="N38" i="4"/>
  <c r="O38" i="4" s="1"/>
  <c r="N39" i="4"/>
  <c r="N40" i="4"/>
  <c r="N41" i="4"/>
  <c r="N42" i="4"/>
  <c r="N43" i="4"/>
  <c r="J60" i="4" l="1"/>
  <c r="I32" i="4"/>
  <c r="J32" i="4" s="1"/>
  <c r="H32" i="4"/>
  <c r="J55" i="4"/>
  <c r="I20" i="4"/>
  <c r="J34" i="4"/>
  <c r="I34" i="4"/>
  <c r="I28" i="4"/>
  <c r="J28" i="4" s="1"/>
  <c r="H30" i="4"/>
  <c r="I30" i="4" s="1"/>
  <c r="I55" i="4"/>
  <c r="I17" i="4"/>
  <c r="J17" i="4" s="1"/>
  <c r="I15" i="4"/>
  <c r="J15" i="4" s="1"/>
  <c r="J54" i="4"/>
  <c r="J20" i="4"/>
  <c r="I58" i="4"/>
  <c r="J58" i="4" s="1"/>
  <c r="I19" i="4"/>
  <c r="J19" i="4" s="1"/>
  <c r="J37" i="4"/>
  <c r="H22" i="4"/>
  <c r="G25" i="4"/>
  <c r="I25" i="4" s="1"/>
  <c r="J25" i="4" s="1"/>
  <c r="H14" i="4"/>
  <c r="I14" i="4" s="1"/>
  <c r="J33" i="4"/>
  <c r="G24" i="4"/>
  <c r="H24" i="4" s="1"/>
  <c r="H35" i="4"/>
  <c r="I35" i="4" s="1"/>
  <c r="J35" i="4" s="1"/>
  <c r="G12" i="4"/>
  <c r="J59" i="4"/>
  <c r="H25" i="4"/>
  <c r="I37" i="4"/>
  <c r="H27" i="4"/>
  <c r="H29" i="4"/>
  <c r="I53" i="4"/>
  <c r="J53" i="4" s="1"/>
  <c r="J23" i="4"/>
  <c r="J56" i="4"/>
  <c r="G13" i="4"/>
  <c r="H21" i="4"/>
  <c r="G18" i="4"/>
  <c r="I23" i="4"/>
  <c r="I21" i="4"/>
  <c r="N52" i="4"/>
  <c r="H18" i="4" l="1"/>
  <c r="I18" i="4" s="1"/>
  <c r="J18" i="4" s="1"/>
  <c r="J14" i="4"/>
  <c r="J21" i="4"/>
  <c r="J30" i="4"/>
  <c r="J22" i="4"/>
  <c r="I13" i="4"/>
  <c r="I24" i="4"/>
  <c r="J24" i="4" s="1"/>
  <c r="H13" i="4"/>
  <c r="I29" i="4"/>
  <c r="J29" i="4" s="1"/>
  <c r="I22" i="4"/>
  <c r="H12" i="4"/>
  <c r="I12" i="4" s="1"/>
  <c r="J12" i="4" s="1"/>
  <c r="I27" i="4"/>
  <c r="J27" i="4" s="1"/>
  <c r="H62" i="4"/>
  <c r="G62" i="4"/>
  <c r="M62" i="4"/>
  <c r="F62" i="4"/>
  <c r="J13" i="4" l="1"/>
  <c r="P13" i="4" s="1"/>
  <c r="I62" i="4"/>
  <c r="L16" i="4"/>
  <c r="E70" i="4"/>
  <c r="E67" i="4"/>
  <c r="E62" i="4"/>
  <c r="E52" i="4"/>
  <c r="E44" i="4"/>
  <c r="E36" i="4"/>
  <c r="E26" i="4"/>
  <c r="P61" i="4"/>
  <c r="P40" i="4"/>
  <c r="L36" i="4"/>
  <c r="D36" i="4"/>
  <c r="C36" i="4"/>
  <c r="B36" i="4"/>
  <c r="E10" i="4"/>
  <c r="E83" i="4"/>
  <c r="E80" i="4"/>
  <c r="E77" i="4"/>
  <c r="O83" i="4"/>
  <c r="N83" i="4"/>
  <c r="M83" i="4"/>
  <c r="L83" i="4"/>
  <c r="K83" i="4"/>
  <c r="J83" i="4"/>
  <c r="I83" i="4"/>
  <c r="H83" i="4"/>
  <c r="G83" i="4"/>
  <c r="F83" i="4"/>
  <c r="D83" i="4"/>
  <c r="C83" i="4"/>
  <c r="O80" i="4"/>
  <c r="N80" i="4"/>
  <c r="M80" i="4"/>
  <c r="L80" i="4"/>
  <c r="K80" i="4"/>
  <c r="J80" i="4"/>
  <c r="I80" i="4"/>
  <c r="H80" i="4"/>
  <c r="G80" i="4"/>
  <c r="F80" i="4"/>
  <c r="D80" i="4"/>
  <c r="C80" i="4"/>
  <c r="B83" i="4"/>
  <c r="B80" i="4"/>
  <c r="O77" i="4"/>
  <c r="N77" i="4"/>
  <c r="M77" i="4"/>
  <c r="L77" i="4"/>
  <c r="K77" i="4"/>
  <c r="J77" i="4"/>
  <c r="I77" i="4"/>
  <c r="H77" i="4"/>
  <c r="G77" i="4"/>
  <c r="F77" i="4"/>
  <c r="D77" i="4"/>
  <c r="C77" i="4"/>
  <c r="B77" i="4"/>
  <c r="O10" i="4"/>
  <c r="N10" i="4"/>
  <c r="M10" i="4"/>
  <c r="L10" i="4"/>
  <c r="I10" i="4"/>
  <c r="H10" i="4"/>
  <c r="O16" i="4"/>
  <c r="N16" i="4"/>
  <c r="M16" i="4"/>
  <c r="K16" i="4"/>
  <c r="J16" i="4"/>
  <c r="I16" i="4"/>
  <c r="H16" i="4"/>
  <c r="O26" i="4"/>
  <c r="N26" i="4"/>
  <c r="M26" i="4"/>
  <c r="L26" i="4"/>
  <c r="K26" i="4"/>
  <c r="J26" i="4"/>
  <c r="I26" i="4"/>
  <c r="H26" i="4"/>
  <c r="F36" i="4"/>
  <c r="O52" i="4"/>
  <c r="M52" i="4"/>
  <c r="L52" i="4"/>
  <c r="K52" i="4"/>
  <c r="J52" i="4"/>
  <c r="I52" i="4"/>
  <c r="H52" i="4"/>
  <c r="O70" i="4"/>
  <c r="N70" i="4"/>
  <c r="M70" i="4"/>
  <c r="L70" i="4"/>
  <c r="K70" i="4"/>
  <c r="J70" i="4"/>
  <c r="I70" i="4"/>
  <c r="H70" i="4"/>
  <c r="G70" i="4"/>
  <c r="F70" i="4"/>
  <c r="D70" i="4"/>
  <c r="C70" i="4"/>
  <c r="B70" i="4"/>
  <c r="O67" i="4"/>
  <c r="N67" i="4"/>
  <c r="M67" i="4"/>
  <c r="L67" i="4"/>
  <c r="K67" i="4"/>
  <c r="J67" i="4"/>
  <c r="I67" i="4"/>
  <c r="H67" i="4"/>
  <c r="G67" i="4"/>
  <c r="F67" i="4"/>
  <c r="D67" i="4"/>
  <c r="C67" i="4"/>
  <c r="B67" i="4"/>
  <c r="D62" i="4"/>
  <c r="C62" i="4"/>
  <c r="B62" i="4"/>
  <c r="O44" i="4"/>
  <c r="N44" i="4"/>
  <c r="M44" i="4"/>
  <c r="L44" i="4"/>
  <c r="K44" i="4"/>
  <c r="J44" i="4"/>
  <c r="I44" i="4"/>
  <c r="H44" i="4"/>
  <c r="G44" i="4"/>
  <c r="F44" i="4"/>
  <c r="D44" i="4"/>
  <c r="C44" i="4"/>
  <c r="B44" i="4"/>
  <c r="G36" i="4" l="1"/>
  <c r="H36" i="4"/>
  <c r="H74" i="4" s="1"/>
  <c r="K10" i="4"/>
  <c r="J10" i="4"/>
  <c r="P15" i="4"/>
  <c r="G52" i="4"/>
  <c r="G26" i="4"/>
  <c r="G16" i="4"/>
  <c r="G10" i="4"/>
  <c r="E16" i="4"/>
  <c r="I76" i="4"/>
  <c r="M85" i="4"/>
  <c r="F52" i="4"/>
  <c r="F26" i="4"/>
  <c r="F16" i="4"/>
  <c r="C85" i="4"/>
  <c r="O76" i="4"/>
  <c r="G85" i="4"/>
  <c r="O85" i="4"/>
  <c r="C76" i="4"/>
  <c r="J76" i="4"/>
  <c r="G76" i="4"/>
  <c r="K85" i="4"/>
  <c r="I85" i="4"/>
  <c r="M76" i="4"/>
  <c r="K76" i="4"/>
  <c r="E85" i="4"/>
  <c r="E76" i="4"/>
  <c r="F76" i="4"/>
  <c r="J85" i="4"/>
  <c r="N85" i="4"/>
  <c r="D85" i="4"/>
  <c r="H85" i="4"/>
  <c r="L85" i="4"/>
  <c r="N76" i="4"/>
  <c r="D76" i="4"/>
  <c r="H76" i="4"/>
  <c r="L76" i="4"/>
  <c r="F85" i="4"/>
  <c r="I36" i="4" l="1"/>
  <c r="J62" i="4"/>
  <c r="K62" i="4"/>
  <c r="P11" i="4"/>
  <c r="G74" i="4"/>
  <c r="G87" i="4" s="1"/>
  <c r="F10" i="4"/>
  <c r="F74" i="4" s="1"/>
  <c r="F87" i="4" s="1"/>
  <c r="H9" i="4"/>
  <c r="H87" i="4"/>
  <c r="E74" i="4"/>
  <c r="P85" i="4"/>
  <c r="P84" i="4"/>
  <c r="P83" i="4"/>
  <c r="P82" i="4"/>
  <c r="P81" i="4"/>
  <c r="P80" i="4"/>
  <c r="P79" i="4"/>
  <c r="P78" i="4"/>
  <c r="P77" i="4"/>
  <c r="P76" i="4"/>
  <c r="P73" i="4"/>
  <c r="P72" i="4"/>
  <c r="P71" i="4"/>
  <c r="P70" i="4"/>
  <c r="P69" i="4"/>
  <c r="P68" i="4"/>
  <c r="P67" i="4"/>
  <c r="P66" i="4"/>
  <c r="P65" i="4"/>
  <c r="P64" i="4"/>
  <c r="P60" i="4"/>
  <c r="P59" i="4"/>
  <c r="P58" i="4"/>
  <c r="P57" i="4"/>
  <c r="P56" i="4"/>
  <c r="P55" i="4"/>
  <c r="P54" i="4"/>
  <c r="P53" i="4"/>
  <c r="P51" i="4"/>
  <c r="P50" i="4"/>
  <c r="P49" i="4"/>
  <c r="P48" i="4"/>
  <c r="P47" i="4"/>
  <c r="P46" i="4"/>
  <c r="P45" i="4"/>
  <c r="P44" i="4"/>
  <c r="P43" i="4"/>
  <c r="P42" i="4"/>
  <c r="P41" i="4"/>
  <c r="P39" i="4"/>
  <c r="P38" i="4"/>
  <c r="P35" i="4"/>
  <c r="P34" i="4"/>
  <c r="P33" i="4"/>
  <c r="P32" i="4"/>
  <c r="P31" i="4"/>
  <c r="P30" i="4"/>
  <c r="P29" i="4"/>
  <c r="P28" i="4"/>
  <c r="P27" i="4"/>
  <c r="P25" i="4"/>
  <c r="P24" i="4"/>
  <c r="P23" i="4"/>
  <c r="P22" i="4"/>
  <c r="P21" i="4"/>
  <c r="P20" i="4"/>
  <c r="P19" i="4"/>
  <c r="P18" i="4"/>
  <c r="P17" i="4"/>
  <c r="P14" i="4"/>
  <c r="P12" i="4"/>
  <c r="D52" i="4"/>
  <c r="P52" i="4" s="1"/>
  <c r="D26" i="4"/>
  <c r="P26" i="4" s="1"/>
  <c r="D16" i="4"/>
  <c r="P16" i="4" s="1"/>
  <c r="D10" i="4"/>
  <c r="C52" i="4"/>
  <c r="C16" i="4"/>
  <c r="C10" i="4"/>
  <c r="B52" i="4"/>
  <c r="B26" i="4"/>
  <c r="B16" i="4"/>
  <c r="I74" i="4" l="1"/>
  <c r="L62" i="4"/>
  <c r="L74" i="4" s="1"/>
  <c r="L9" i="4" s="1"/>
  <c r="N62" i="4"/>
  <c r="P10" i="4"/>
  <c r="G9" i="4"/>
  <c r="F9" i="4"/>
  <c r="E87" i="4"/>
  <c r="E9" i="4"/>
  <c r="C74" i="4"/>
  <c r="C87" i="4" s="1"/>
  <c r="D74" i="4"/>
  <c r="B10" i="4"/>
  <c r="B74" i="4" s="1"/>
  <c r="B9" i="4" s="1"/>
  <c r="I87" i="4" l="1"/>
  <c r="I9" i="4"/>
  <c r="K36" i="4"/>
  <c r="K74" i="4" s="1"/>
  <c r="J36" i="4"/>
  <c r="L87" i="4"/>
  <c r="O62" i="4"/>
  <c r="P63" i="4"/>
  <c r="C9" i="4"/>
  <c r="D87" i="4"/>
  <c r="D9" i="4"/>
  <c r="B76" i="4"/>
  <c r="B85" i="4"/>
  <c r="B87" i="4" s="1"/>
  <c r="M36" i="4" l="1"/>
  <c r="M74" i="4" s="1"/>
  <c r="M87" i="4" s="1"/>
  <c r="K87" i="4"/>
  <c r="K9" i="4"/>
  <c r="P62" i="4"/>
  <c r="J74" i="4"/>
  <c r="M9" i="4" l="1"/>
  <c r="J87" i="4"/>
  <c r="J9" i="4"/>
  <c r="N36" i="4" l="1"/>
  <c r="N74" i="4" l="1"/>
  <c r="O36" i="4"/>
  <c r="O74" i="4" s="1"/>
  <c r="P37" i="4"/>
  <c r="O87" i="4" l="1"/>
  <c r="O9" i="4"/>
  <c r="N87" i="4"/>
  <c r="P74" i="4"/>
  <c r="N9" i="4"/>
  <c r="P36" i="4"/>
  <c r="P87" i="4" l="1"/>
  <c r="P9" i="4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<sst xmlns="http://schemas.openxmlformats.org/spreadsheetml/2006/main" count="110" uniqueCount="110">
  <si>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</si>
  <si>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</si>
  <si>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</si>
  <si>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</si>
  <si>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</si>
  <si>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</si>
  <si>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</si>
  <si>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</si>
  <si>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</si>
  <si>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</si>
  <si>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</si>
  <si>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</si>
  <si>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</si>
  <si>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</si>
  <si>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</si>
  <si>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</si>
  <si>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</si>
  <si>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</si>
  <si>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</si>
  <si>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</si>
  <si>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</si>
  <si>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</si>
  <si>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</si>
  <si>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</si>
  <si>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</si>
  <si>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</si>
  <si>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</si>
  <si>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</si>
  <si>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</si>
  <si>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</si>
  <si>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</si>
  <si>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</si>
  <si>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</si>
  <si>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</si>
  <si>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</si>
  <si>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</si>
  <si>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</si>
  <si>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</si>
  <si>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</si>
  <si>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</si>
  <si>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</si>
  <si>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</si>
  <si>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</si>
  <si>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</si>
  <si>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</si>
  <si>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</si>
  <si>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</si>
  <si>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</si>
  <si>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</si>
  <si>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</si>
  <si>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</si>
  <si>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</si>
  <si>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</si>
  <si>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</si>
  <si>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</si>
  <si>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</si>
  <si>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</si>
  <si>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</si>
  <si>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</si>
  <si>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</si>
  <si>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</si>
  <si>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</si>
  <si>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</si>
  <si>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</si>
  <si>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</si>
  <si>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</si>
  <si>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</si>
  <si>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</si>
  <si>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</si>
  <si>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</si>
  <si>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</si>
  <si>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</si>
  <si>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</si>
  <si>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</si>
  <si>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</si>
  <si>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</si>
  <si>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</si>
  <si>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</si>
  <si>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</si>
  <si>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</si>
  <si>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</si>
  <si>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</si>
  <si>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</si>
  <si>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</si>
  <si>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</si>
  <si>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</si>
  <si>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</si>
  <si>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</si>
  <si>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</si>
  <si>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</si>
  <si>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</si>
  <si>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</si>
  <si>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</si>
  <si>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</si>
  <si>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</si>
  <si>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</si>
  <si>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</si>
  <si>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</si>
  <si>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</si>
  <si>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DIRECCION GENERAL DE ALIANZAS PUBLICO PRIVADAS</t>
  </si>
  <si>
    <t>Presupuesto Aprobado</t>
  </si>
  <si>
    <t>Presupuesto Modificado</t>
  </si>
  <si>
    <t>Gasto Devengado</t>
  </si>
  <si>
    <t>Fuente: [SIGEF]</t>
  </si>
  <si>
    <t>Analista Financiera</t>
  </si>
  <si>
    <t>Revisado: Juan Gonzalez</t>
  </si>
  <si>
    <t>Preparado: Yohan Alcantara</t>
  </si>
  <si>
    <t>Aprobado: María E. Montero</t>
  </si>
  <si>
    <t>Directora Financiera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</si>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</sst>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4" tint="0.3999755851924192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medium">
        <color theme="0"/>
      </left>
      <right/>
      <top style="thin">
        <color theme="4" tint="0.39997558519241921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theme="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 indent="2"/>
    </xf>
    <xf numFmtId="0" fontId="1" fillId="2" borderId="16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/>
    <xf numFmtId="43" fontId="0" fillId="0" borderId="0" xfId="0" applyNumberFormat="1" applyAlignment="1">
      <alignment vertical="center"/>
    </xf>
    <xf numFmtId="43" fontId="1" fillId="0" borderId="0" xfId="0" applyNumberFormat="1" applyFont="1" applyAlignment="1">
      <alignment vertical="center"/>
    </xf>
    <xf numFmtId="43" fontId="1" fillId="0" borderId="1" xfId="1" applyFont="1" applyBorder="1" applyAlignment="1">
      <alignment vertical="center" wrapText="1"/>
    </xf>
    <xf numFmtId="43" fontId="1" fillId="0" borderId="0" xfId="1" applyFont="1" applyBorder="1" applyAlignment="1">
      <alignment vertical="center" wrapText="1"/>
    </xf>
    <xf numFmtId="43" fontId="1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43" fontId="1" fillId="2" borderId="2" xfId="0" applyNumberFormat="1" applyFont="1" applyFill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5" fillId="4" borderId="7" xfId="1" applyFont="1" applyFill="1" applyBorder="1" applyAlignment="1">
      <alignment horizontal="center" vertical="center" wrapText="1"/>
    </xf>
    <xf numFmtId="43" fontId="5" fillId="4" borderId="8" xfId="0" applyNumberFormat="1" applyFont="1" applyFill="1" applyBorder="1" applyAlignment="1">
      <alignment horizontal="center" vertical="center" wrapText="1"/>
    </xf>
    <xf numFmtId="43" fontId="5" fillId="4" borderId="7" xfId="0" applyNumberFormat="1" applyFont="1" applyFill="1" applyBorder="1" applyAlignment="1">
      <alignment horizontal="center" vertical="center" wrapText="1"/>
    </xf>
    <xf numFmtId="43" fontId="5" fillId="4" borderId="3" xfId="0" applyNumberFormat="1" applyFont="1" applyFill="1" applyBorder="1" applyAlignment="1">
      <alignment horizontal="center" vertical="center" wrapText="1"/>
    </xf>
    <xf numFmtId="43" fontId="5" fillId="4" borderId="5" xfId="0" applyNumberFormat="1" applyFont="1" applyFill="1" applyBorder="1" applyAlignment="1">
      <alignment horizontal="center" vertical="center" wrapText="1"/>
    </xf>
    <xf numFmtId="43" fontId="5" fillId="4" borderId="6" xfId="0" applyNumberFormat="1" applyFont="1" applyFill="1" applyBorder="1" applyAlignment="1">
      <alignment horizontal="center" vertical="center" wrapText="1"/>
    </xf>
    <xf numFmtId="0" fontId="1" fillId="0" borderId="0" xfId="0" applyFont="1"/>
    <xf numFmtId="9" fontId="1" fillId="0" borderId="0" xfId="2" applyFont="1"/>
    <xf numFmtId="43" fontId="1" fillId="0" borderId="1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3" borderId="17" xfId="0" applyFont="1" applyFill="1" applyBorder="1" applyAlignment="1">
      <alignment horizontal="left" vertical="center" wrapText="1"/>
    </xf>
    <xf numFmtId="43" fontId="1" fillId="3" borderId="18" xfId="1" applyFont="1" applyFill="1" applyBorder="1" applyAlignment="1">
      <alignment vertical="center" wrapText="1"/>
    </xf>
    <xf numFmtId="43" fontId="4" fillId="0" borderId="0" xfId="1" applyFont="1" applyFill="1" applyBorder="1" applyAlignment="1">
      <alignment vertical="center"/>
    </xf>
    <xf numFmtId="43" fontId="7" fillId="0" borderId="0" xfId="0" applyNumberFormat="1" applyFont="1" applyAlignment="1">
      <alignment vertical="center"/>
    </xf>
    <xf numFmtId="43" fontId="0" fillId="0" borderId="0" xfId="1" applyFont="1" applyFill="1" applyBorder="1" applyAlignment="1">
      <alignment vertical="center"/>
    </xf>
    <xf numFmtId="43" fontId="1" fillId="6" borderId="0" xfId="1" applyFont="1" applyFill="1" applyBorder="1" applyAlignment="1">
      <alignment vertical="center" wrapText="1"/>
    </xf>
    <xf numFmtId="43" fontId="1" fillId="6" borderId="0" xfId="0" applyNumberFormat="1" applyFont="1" applyFill="1" applyAlignment="1">
      <alignment vertical="center"/>
    </xf>
    <xf numFmtId="43" fontId="1" fillId="6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 wrapText="1"/>
    </xf>
    <xf numFmtId="43" fontId="0" fillId="0" borderId="0" xfId="1" applyFont="1" applyFill="1" applyAlignment="1">
      <alignment vertical="center"/>
    </xf>
    <xf numFmtId="43" fontId="4" fillId="0" borderId="0" xfId="1" applyFont="1" applyFill="1" applyBorder="1" applyAlignment="1">
      <alignment vertical="center" wrapText="1"/>
    </xf>
    <xf numFmtId="0" fontId="8" fillId="0" borderId="0" xfId="0" applyFont="1"/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43" fontId="5" fillId="4" borderId="10" xfId="1" applyFont="1" applyFill="1" applyBorder="1" applyAlignment="1">
      <alignment horizontal="center" vertical="center" wrapText="1"/>
    </xf>
    <xf numFmtId="43" fontId="5" fillId="4" borderId="4" xfId="1" applyFont="1" applyFill="1" applyBorder="1" applyAlignment="1">
      <alignment horizontal="center" vertical="center" wrapText="1"/>
    </xf>
    <xf numFmtId="43" fontId="6" fillId="5" borderId="11" xfId="1" applyFont="1" applyFill="1" applyBorder="1" applyAlignment="1">
      <alignment horizontal="center" vertical="center"/>
    </xf>
    <xf numFmtId="43" fontId="6" fillId="5" borderId="12" xfId="1" applyFont="1" applyFill="1" applyBorder="1" applyAlignment="1">
      <alignment horizontal="center" vertical="center"/>
    </xf>
    <xf numFmtId="43" fontId="6" fillId="5" borderId="19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232833</xdr:colOff>
      <xdr:row>0</xdr:row>
      <xdr:rowOff>158752</xdr:rowOff>
    </xdr:from>
    <xdr:to>
      <xdr:col>0</xdr:col>
      <xdr:colOff>1725083</xdr:colOff>
      <xdr:row>3</xdr:row>
      <xdr:rowOff>77978</xdr:rowOff>
    </xdr:to>
    <xdr:pic>
      <xdr:nvPicPr>
        <xdr:cNvPr id="2" name="Picture 2" descr="A picture containing drawing, sign, mug&#10;&#10;Description automatically generated">
          <a:extLst>
            <a:ext uri="{FF2B5EF4-FFF2-40B4-BE49-F238E27FC236}">
              <a16:creationId xmlns:a16="http://schemas.microsoft.com/office/drawing/2014/main" id="{34CECB48-93A6-4B28-87CA-64C191EF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158752"/>
          <a:ext cx="1492250" cy="633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D99E-4F56-48EF-B5A3-3279BC95798C}">
  <sheetPr>
    <pageSetUpPr fitToPage="1"/>
  </sheetPr>
  <dimension ref="A1:AB91"/>
  <sheetViews>
    <sheetView showGridLines="0" tabSelected="1" zoomScale="90" zoomScaleNormal="90" workbookViewId="0">
      <pane xSplit="3" ySplit="9" topLeftCell="D54" activePane="bottomRight" state="frozen"/>
      <selection pane="topRight" activeCell="D1" sqref="D1"/>
      <selection pane="bottomLeft" activeCell="A10" sqref="A10"/>
      <selection pane="bottomRight" activeCell="Q4" sqref="Q4"/>
    </sheetView>
  </sheetViews>
  <sheetFormatPr baseColWidth="10" defaultColWidth="9.140625" defaultRowHeight="15" x14ac:dyDescent="0.25"/>
  <cols>
    <col min="1" max="1" width="54.5703125" bestFit="1" customWidth="1"/>
    <col min="2" max="2" width="18" style="21" customWidth="1"/>
    <col min="3" max="4" width="18.42578125" style="21" customWidth="1"/>
    <col min="5" max="7" width="14.7109375" style="11" customWidth="1"/>
    <col min="8" max="8" width="16.28515625" style="11" customWidth="1"/>
    <col min="9" max="10" width="14.7109375" style="11" customWidth="1"/>
    <col min="11" max="15" width="13.7109375" style="11" hidden="1" customWidth="1"/>
    <col min="16" max="16" width="18.7109375" style="11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x14ac:dyDescent="0.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Q1" s="1" t="s">
        <v>91</v>
      </c>
    </row>
    <row r="2" spans="1:28" ht="18.75" x14ac:dyDescent="0.25">
      <c r="A2" s="51" t="s">
        <v>99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Q2" s="2" t="s">
        <v>93</v>
      </c>
    </row>
    <row r="3" spans="1:28" ht="18.75" x14ac:dyDescent="0.25">
      <c r="A3" s="51">
        <v>2025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Q3" s="2" t="s">
        <v>94</v>
      </c>
    </row>
    <row r="4" spans="1:28" ht="15.75" x14ac:dyDescent="0.25">
      <c r="A4" s="52" t="s">
        <v>97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Q4" s="2" t="s">
        <v>92</v>
      </c>
    </row>
    <row r="5" spans="1:28" x14ac:dyDescent="0.25">
      <c r="A5" s="53" t="s">
        <v>36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Q5" s="2" t="s">
        <v>95</v>
      </c>
    </row>
    <row r="6" spans="1:28" ht="15.75" thickBot="1" x14ac:dyDescent="0.3">
      <c r="P6" s="34"/>
      <c r="Q6" s="2" t="s">
        <v>96</v>
      </c>
    </row>
    <row r="7" spans="1:28" ht="21" customHeight="1" x14ac:dyDescent="0.25">
      <c r="A7" s="44" t="s">
        <v>0</v>
      </c>
      <c r="B7" s="46" t="s">
        <v>100</v>
      </c>
      <c r="C7" s="46" t="s">
        <v>101</v>
      </c>
      <c r="D7" s="48" t="s">
        <v>102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50"/>
      <c r="Q7" s="2"/>
    </row>
    <row r="8" spans="1:28" ht="15" customHeight="1" x14ac:dyDescent="0.25">
      <c r="A8" s="45"/>
      <c r="B8" s="47"/>
      <c r="C8" s="47"/>
      <c r="D8" s="22" t="s">
        <v>79</v>
      </c>
      <c r="E8" s="23" t="s">
        <v>80</v>
      </c>
      <c r="F8" s="24" t="s">
        <v>81</v>
      </c>
      <c r="G8" s="24" t="s">
        <v>82</v>
      </c>
      <c r="H8" s="24" t="s">
        <v>83</v>
      </c>
      <c r="I8" s="25" t="s">
        <v>84</v>
      </c>
      <c r="J8" s="26" t="s">
        <v>85</v>
      </c>
      <c r="K8" s="25" t="s">
        <v>86</v>
      </c>
      <c r="L8" s="27" t="s">
        <v>87</v>
      </c>
      <c r="M8" s="26" t="s">
        <v>88</v>
      </c>
      <c r="N8" s="26" t="s">
        <v>89</v>
      </c>
      <c r="O8" s="26" t="s">
        <v>90</v>
      </c>
      <c r="P8" s="25" t="s">
        <v>98</v>
      </c>
      <c r="AA8" s="4"/>
      <c r="AB8" s="4"/>
    </row>
    <row r="9" spans="1:28" ht="20.100000000000001" customHeight="1" x14ac:dyDescent="0.25">
      <c r="A9" s="5" t="s">
        <v>1</v>
      </c>
      <c r="B9" s="13">
        <f>SUM(B74)</f>
        <v>354000000</v>
      </c>
      <c r="C9" s="13">
        <f t="shared" ref="C9:O9" si="0">SUM(C74)</f>
        <v>471119128.90999997</v>
      </c>
      <c r="D9" s="13">
        <f t="shared" si="0"/>
        <v>11851531.859999999</v>
      </c>
      <c r="E9" s="13">
        <f>SUM(E74)</f>
        <v>14871649.939999999</v>
      </c>
      <c r="F9" s="13">
        <f t="shared" si="0"/>
        <v>21584749.810000002</v>
      </c>
      <c r="G9" s="13">
        <f t="shared" si="0"/>
        <v>17856496.849999994</v>
      </c>
      <c r="H9" s="13">
        <f t="shared" si="0"/>
        <v>29572680.489999998</v>
      </c>
      <c r="I9" s="13">
        <f t="shared" si="0"/>
        <v>21326420.640000001</v>
      </c>
      <c r="J9" s="13">
        <f t="shared" si="0"/>
        <v>22265664.859999992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30">
        <f>SUM(D9:O9)</f>
        <v>139329194.44999999</v>
      </c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8" customFormat="1" ht="15.95" customHeight="1" x14ac:dyDescent="0.25">
      <c r="A10" s="6" t="s">
        <v>2</v>
      </c>
      <c r="B10" s="37">
        <f>SUM(B11:B15)</f>
        <v>232020884</v>
      </c>
      <c r="C10" s="39">
        <f>SUM(C11:C15)</f>
        <v>232020884</v>
      </c>
      <c r="D10" s="39">
        <f>SUM(D11:D15)</f>
        <v>9663877.5299999993</v>
      </c>
      <c r="E10" s="39">
        <f>SUM(E11:E15)</f>
        <v>10790318.43</v>
      </c>
      <c r="F10" s="39">
        <f t="shared" ref="F10:O10" si="1">SUM(F11:F15)</f>
        <v>12127452.690000001</v>
      </c>
      <c r="G10" s="39">
        <f t="shared" si="1"/>
        <v>11867811.689999996</v>
      </c>
      <c r="H10" s="37">
        <f t="shared" si="1"/>
        <v>22871185.780000001</v>
      </c>
      <c r="I10" s="39">
        <f t="shared" si="1"/>
        <v>13588384.32</v>
      </c>
      <c r="J10" s="39">
        <f t="shared" si="1"/>
        <v>14450666.329999994</v>
      </c>
      <c r="K10" s="39">
        <f t="shared" si="1"/>
        <v>0</v>
      </c>
      <c r="L10" s="39">
        <f t="shared" si="1"/>
        <v>0</v>
      </c>
      <c r="M10" s="39">
        <f t="shared" si="1"/>
        <v>0</v>
      </c>
      <c r="N10" s="39">
        <f t="shared" si="1"/>
        <v>0</v>
      </c>
      <c r="O10" s="39">
        <f t="shared" si="1"/>
        <v>0</v>
      </c>
      <c r="P10" s="39">
        <f>SUM(D10:O10)</f>
        <v>95359696.769999996</v>
      </c>
      <c r="S10" s="29"/>
    </row>
    <row r="11" spans="1:28" ht="15" customHeight="1" x14ac:dyDescent="0.25">
      <c r="A11" s="7" t="s">
        <v>3</v>
      </c>
      <c r="B11" s="42">
        <v>156190000</v>
      </c>
      <c r="C11" s="34">
        <v>153425000</v>
      </c>
      <c r="D11" s="17">
        <v>7689000</v>
      </c>
      <c r="E11" s="16">
        <f>16471022.61-D11</f>
        <v>8782022.6099999994</v>
      </c>
      <c r="F11" s="16">
        <f>26389150.44-D11-E11</f>
        <v>9918127.8300000019</v>
      </c>
      <c r="G11" s="16">
        <f>35983150.44-D11-E11-F11</f>
        <v>9593999.9999999963</v>
      </c>
      <c r="H11" s="17">
        <f>47493629.43-D11-E11-F11-G11</f>
        <v>11510478.990000002</v>
      </c>
      <c r="I11" s="16">
        <f>58515629.43-D11-E11-F11-G11-H11</f>
        <v>11022000</v>
      </c>
      <c r="J11" s="16">
        <f>70542263.35-D11-E11-F11-G11-H11-I11</f>
        <v>12026633.919999994</v>
      </c>
      <c r="K11" s="16"/>
      <c r="L11" s="16"/>
      <c r="M11" s="16"/>
      <c r="N11" s="16"/>
      <c r="O11" s="16"/>
      <c r="P11" s="16">
        <f>SUM(D11:O11)</f>
        <v>70542263.349999994</v>
      </c>
    </row>
    <row r="12" spans="1:28" x14ac:dyDescent="0.25">
      <c r="A12" s="7" t="s">
        <v>4</v>
      </c>
      <c r="B12" s="42">
        <v>55984500</v>
      </c>
      <c r="C12" s="34">
        <v>57019500</v>
      </c>
      <c r="D12" s="17">
        <v>867750</v>
      </c>
      <c r="E12" s="16">
        <f>1665400-D12</f>
        <v>797650</v>
      </c>
      <c r="F12" s="16">
        <f>2541400-D12-E12</f>
        <v>876000</v>
      </c>
      <c r="G12" s="16">
        <f>3410650-D12-E12-F12</f>
        <v>869250</v>
      </c>
      <c r="H12" s="17">
        <f>13171574.98-D12-E12-F12-G12</f>
        <v>9760924.9800000004</v>
      </c>
      <c r="I12" s="11">
        <f>14126324.98-D12-E12-F12-G12-H12</f>
        <v>954750</v>
      </c>
      <c r="J12" s="16">
        <f>14980574.98-D12-E12-F12-G12-H12-I12</f>
        <v>854250</v>
      </c>
      <c r="N12" s="16"/>
      <c r="P12" s="16">
        <f t="shared" ref="P12:P14" si="2">SUM(D12:O12)</f>
        <v>14980574.98</v>
      </c>
    </row>
    <row r="13" spans="1:28" x14ac:dyDescent="0.25">
      <c r="A13" s="7" t="s">
        <v>37</v>
      </c>
      <c r="B13" s="42">
        <v>0</v>
      </c>
      <c r="C13" s="34">
        <v>0</v>
      </c>
      <c r="D13" s="17">
        <v>0</v>
      </c>
      <c r="E13" s="16">
        <f t="shared" ref="E13:E25" si="3">0-D13</f>
        <v>0</v>
      </c>
      <c r="F13" s="16">
        <f t="shared" ref="F13:F35" si="4">0-D13-E13</f>
        <v>0</v>
      </c>
      <c r="G13" s="16">
        <f t="shared" ref="G13:G14" si="5">0-D13-E13-F13</f>
        <v>0</v>
      </c>
      <c r="H13" s="17">
        <f t="shared" ref="H13:H34" si="6">0-D13-E13-F13-G13</f>
        <v>0</v>
      </c>
      <c r="I13" s="11">
        <f t="shared" ref="I13:I14" si="7">0-D13-E13-F13-G13-H13</f>
        <v>0</v>
      </c>
      <c r="J13" s="16">
        <f t="shared" ref="J13:J14" si="8">0-D13-E13-F13-G13-H13-I13</f>
        <v>0</v>
      </c>
      <c r="K13" s="11">
        <v>0</v>
      </c>
      <c r="L13" s="11">
        <v>0</v>
      </c>
      <c r="M13" s="11">
        <v>0</v>
      </c>
      <c r="N13" s="16">
        <v>0</v>
      </c>
      <c r="O13" s="11">
        <v>0</v>
      </c>
      <c r="P13" s="16">
        <f>SUM(D13:O13)</f>
        <v>0</v>
      </c>
    </row>
    <row r="14" spans="1:28" x14ac:dyDescent="0.25">
      <c r="A14" s="7" t="s">
        <v>5</v>
      </c>
      <c r="B14" s="42">
        <v>0</v>
      </c>
      <c r="C14" s="34">
        <v>0</v>
      </c>
      <c r="D14" s="17">
        <v>0</v>
      </c>
      <c r="E14" s="16">
        <f t="shared" si="3"/>
        <v>0</v>
      </c>
      <c r="F14" s="16">
        <f t="shared" si="4"/>
        <v>0</v>
      </c>
      <c r="G14" s="16">
        <f t="shared" si="5"/>
        <v>0</v>
      </c>
      <c r="H14" s="17">
        <f t="shared" si="6"/>
        <v>0</v>
      </c>
      <c r="I14" s="11">
        <f t="shared" si="7"/>
        <v>0</v>
      </c>
      <c r="J14" s="16">
        <f t="shared" si="8"/>
        <v>0</v>
      </c>
      <c r="K14" s="11">
        <v>0</v>
      </c>
      <c r="L14" s="11">
        <v>0</v>
      </c>
      <c r="M14" s="11">
        <v>0</v>
      </c>
      <c r="N14" s="16">
        <v>0</v>
      </c>
      <c r="O14" s="11">
        <v>0</v>
      </c>
      <c r="P14" s="16">
        <f t="shared" si="2"/>
        <v>0</v>
      </c>
    </row>
    <row r="15" spans="1:28" x14ac:dyDescent="0.25">
      <c r="A15" s="7" t="s">
        <v>6</v>
      </c>
      <c r="B15" s="42">
        <v>19846384</v>
      </c>
      <c r="C15" s="42">
        <v>21576384</v>
      </c>
      <c r="D15" s="17">
        <v>1107127.53</v>
      </c>
      <c r="E15" s="16">
        <f>2317773.35-D15</f>
        <v>1210645.82</v>
      </c>
      <c r="F15" s="16">
        <f>3651098.21-D15-E15</f>
        <v>1333324.8599999996</v>
      </c>
      <c r="G15" s="16">
        <f>5055659.9-D15-E15-F15</f>
        <v>1404561.6900000002</v>
      </c>
      <c r="H15" s="17">
        <f>6655441.71-D15-E15-F15-G15</f>
        <v>1599781.8099999998</v>
      </c>
      <c r="I15" s="11">
        <f>8267076.03-D15-E15-F15-G15-H15</f>
        <v>1611634.32</v>
      </c>
      <c r="J15" s="16">
        <f>9836858.44-D15-E15-F15-G15-H15-I15</f>
        <v>1569782.4100000004</v>
      </c>
      <c r="N15" s="16"/>
      <c r="P15" s="16">
        <f>SUM(D15:O15)</f>
        <v>9836858.4400000013</v>
      </c>
    </row>
    <row r="16" spans="1:28" s="28" customFormat="1" ht="15.95" customHeight="1" x14ac:dyDescent="0.25">
      <c r="A16" s="6" t="s">
        <v>7</v>
      </c>
      <c r="B16" s="37">
        <f>SUM(B17:B25)</f>
        <v>105680008</v>
      </c>
      <c r="C16" s="37">
        <f>SUM(C17:C25)</f>
        <v>179474136.91</v>
      </c>
      <c r="D16" s="37">
        <f>SUM(D17:D25)</f>
        <v>2187654.33</v>
      </c>
      <c r="E16" s="38">
        <f>SUM(E17:E25)</f>
        <v>2369031.5100000002</v>
      </c>
      <c r="F16" s="38">
        <f t="shared" ref="F16:O16" si="9">SUM(F17:F25)</f>
        <v>7979198.3200000003</v>
      </c>
      <c r="G16" s="38">
        <f t="shared" si="9"/>
        <v>5015143.4399999995</v>
      </c>
      <c r="H16" s="37">
        <f t="shared" si="9"/>
        <v>4801983.1199999992</v>
      </c>
      <c r="I16" s="38">
        <f t="shared" si="9"/>
        <v>5837733.9300000016</v>
      </c>
      <c r="J16" s="38">
        <f t="shared" si="9"/>
        <v>6319075.799999998</v>
      </c>
      <c r="K16" s="38">
        <f t="shared" si="9"/>
        <v>0</v>
      </c>
      <c r="L16" s="38">
        <f t="shared" si="9"/>
        <v>0</v>
      </c>
      <c r="M16" s="38">
        <f t="shared" si="9"/>
        <v>0</v>
      </c>
      <c r="N16" s="38">
        <f t="shared" si="9"/>
        <v>0</v>
      </c>
      <c r="O16" s="38">
        <f t="shared" si="9"/>
        <v>0</v>
      </c>
      <c r="P16" s="37">
        <f>SUM(D16:O16)</f>
        <v>34509820.449999996</v>
      </c>
    </row>
    <row r="17" spans="1:16" ht="15" customHeight="1" x14ac:dyDescent="0.25">
      <c r="A17" s="7" t="s">
        <v>8</v>
      </c>
      <c r="B17" s="40">
        <v>10476000</v>
      </c>
      <c r="C17" s="36">
        <v>11254000</v>
      </c>
      <c r="D17" s="40">
        <v>685540.13</v>
      </c>
      <c r="E17" s="11">
        <f>1426969.46-D17</f>
        <v>741429.33</v>
      </c>
      <c r="F17" s="11">
        <f>2128641.27-D17-E17</f>
        <v>701671.81000000017</v>
      </c>
      <c r="G17" s="11">
        <f>2874732.88-D17-E17-F17</f>
        <v>746091.60999999975</v>
      </c>
      <c r="H17" s="17">
        <f>3574710.61-D17-E17-F17-G17</f>
        <v>699977.7300000001</v>
      </c>
      <c r="I17" s="11">
        <f>4336416.05-D17-E17-F17-G17-H17</f>
        <v>761705.43999999983</v>
      </c>
      <c r="J17" s="11">
        <f>5094104.31-D17-E17-F17-G17-H17-I17</f>
        <v>757688.25999999989</v>
      </c>
      <c r="P17" s="11">
        <f>SUM(D17:O17)</f>
        <v>5094104.3099999996</v>
      </c>
    </row>
    <row r="18" spans="1:16" ht="15" customHeight="1" x14ac:dyDescent="0.25">
      <c r="A18" s="7" t="s">
        <v>9</v>
      </c>
      <c r="B18" s="40">
        <v>11985000</v>
      </c>
      <c r="C18" s="40">
        <v>17435000</v>
      </c>
      <c r="D18" s="40">
        <v>0</v>
      </c>
      <c r="E18" s="11">
        <f t="shared" si="3"/>
        <v>0</v>
      </c>
      <c r="F18" s="11">
        <f t="shared" si="4"/>
        <v>0</v>
      </c>
      <c r="G18" s="11">
        <f>59000-D18-E18-F18</f>
        <v>59000</v>
      </c>
      <c r="H18" s="17">
        <f>59000-D18-E18-F18-G18</f>
        <v>0</v>
      </c>
      <c r="I18" s="11">
        <f>740280-D18-E18-F18-G18-H18</f>
        <v>681280</v>
      </c>
      <c r="J18" s="11">
        <f>933280-D18-E18-F18-G18-H18-I18</f>
        <v>193000</v>
      </c>
      <c r="P18" s="11">
        <f t="shared" ref="P18:P25" si="10">SUM(D18:O18)</f>
        <v>933280</v>
      </c>
    </row>
    <row r="19" spans="1:16" ht="15" customHeight="1" x14ac:dyDescent="0.25">
      <c r="A19" s="7" t="s">
        <v>10</v>
      </c>
      <c r="B19" s="40">
        <v>6200000</v>
      </c>
      <c r="C19" s="36">
        <v>6200000</v>
      </c>
      <c r="D19" s="40">
        <v>303277.02</v>
      </c>
      <c r="E19" s="11">
        <f>331367.02-D19</f>
        <v>28090</v>
      </c>
      <c r="F19" s="11">
        <f>620321.72-D19-E19</f>
        <v>288954.69999999995</v>
      </c>
      <c r="G19" s="11">
        <f>757613.4-D19-E19-F19</f>
        <v>137291.68000000005</v>
      </c>
      <c r="H19" s="17">
        <f>1396745.4-D19-E19-F19-G19</f>
        <v>639131.99999999988</v>
      </c>
      <c r="I19" s="11">
        <f>1411567.9-D19-E19-F19-G19-H19</f>
        <v>14822.5</v>
      </c>
      <c r="J19" s="11">
        <f>1416325.4-D19-E19-F19-G19-H19-I19</f>
        <v>4757.5</v>
      </c>
      <c r="L19" s="35"/>
      <c r="P19" s="11">
        <f t="shared" si="10"/>
        <v>1416325.4</v>
      </c>
    </row>
    <row r="20" spans="1:16" ht="15" customHeight="1" x14ac:dyDescent="0.25">
      <c r="A20" s="7" t="s">
        <v>11</v>
      </c>
      <c r="B20" s="40">
        <v>2092010</v>
      </c>
      <c r="C20" s="40">
        <v>2092010</v>
      </c>
      <c r="D20" s="40">
        <v>88175.53</v>
      </c>
      <c r="E20" s="11">
        <f>88175.53-D20</f>
        <v>0</v>
      </c>
      <c r="F20" s="11">
        <f>88175.53-D20-E20</f>
        <v>0</v>
      </c>
      <c r="G20" s="11">
        <f>250853.93-D20-E20-F20</f>
        <v>162678.39999999999</v>
      </c>
      <c r="H20" s="17">
        <f>250853.93-D20-E20-F20-G20</f>
        <v>0</v>
      </c>
      <c r="I20" s="11">
        <f>646262.88-D20-E20-F20-G20-H20</f>
        <v>395408.94999999995</v>
      </c>
      <c r="J20" s="11">
        <f>646262.88-D20-E20-F20-G20-H20-I20</f>
        <v>0</v>
      </c>
      <c r="P20" s="11">
        <f t="shared" si="10"/>
        <v>646262.87999999989</v>
      </c>
    </row>
    <row r="21" spans="1:16" ht="15" customHeight="1" x14ac:dyDescent="0.25">
      <c r="A21" s="7" t="s">
        <v>12</v>
      </c>
      <c r="B21" s="40">
        <v>5419200</v>
      </c>
      <c r="C21" s="40">
        <v>6982200</v>
      </c>
      <c r="D21" s="40">
        <v>0</v>
      </c>
      <c r="E21" s="11">
        <f>139240-D21</f>
        <v>139240</v>
      </c>
      <c r="F21" s="11">
        <f>208860-D21-E21</f>
        <v>69620</v>
      </c>
      <c r="G21" s="11">
        <f>305080.01-D21-E21-F21</f>
        <v>96220.010000000009</v>
      </c>
      <c r="H21" s="17">
        <f>374700.01-D21-E21-F21-G21</f>
        <v>69620</v>
      </c>
      <c r="I21" s="11">
        <f>444320.01-D21-E21-F21-G21-H21</f>
        <v>69620</v>
      </c>
      <c r="J21" s="11">
        <f>513940.01-D21-E21-F21-G21-H21-I21</f>
        <v>69620</v>
      </c>
      <c r="P21" s="11">
        <f t="shared" si="10"/>
        <v>513940.01</v>
      </c>
    </row>
    <row r="22" spans="1:16" ht="15" customHeight="1" x14ac:dyDescent="0.25">
      <c r="A22" s="7" t="s">
        <v>13</v>
      </c>
      <c r="B22" s="40">
        <v>18394018</v>
      </c>
      <c r="C22" s="36">
        <v>18794018</v>
      </c>
      <c r="D22" s="40">
        <v>1110661.6499999999</v>
      </c>
      <c r="E22" s="11">
        <f>2570933.83-D22</f>
        <v>1460272.1800000002</v>
      </c>
      <c r="F22" s="11">
        <f>3901637.97-D22-E22</f>
        <v>1330704.1400000001</v>
      </c>
      <c r="G22" s="11">
        <f>4721334.14-D22-E22-F22</f>
        <v>819696.16999999946</v>
      </c>
      <c r="H22" s="17">
        <f>6010949.85-D22-E22-F22-G22</f>
        <v>1289615.7099999995</v>
      </c>
      <c r="I22" s="11">
        <f>7216948.64-D22-E22-F22-G22-H22</f>
        <v>1205998.7900000014</v>
      </c>
      <c r="J22" s="11">
        <f>8433291.61-D22-E22-F22-G22-H22-I22</f>
        <v>1216342.9699999983</v>
      </c>
      <c r="P22" s="11">
        <f t="shared" si="10"/>
        <v>8433291.6099999994</v>
      </c>
    </row>
    <row r="23" spans="1:16" ht="27.95" customHeight="1" x14ac:dyDescent="0.25">
      <c r="A23" s="7" t="s">
        <v>14</v>
      </c>
      <c r="B23" s="40">
        <v>2652000</v>
      </c>
      <c r="C23" s="40">
        <v>10252000</v>
      </c>
      <c r="D23" s="40">
        <v>0</v>
      </c>
      <c r="E23" s="11">
        <f t="shared" si="3"/>
        <v>0</v>
      </c>
      <c r="F23" s="11">
        <f>348475.7-D23-E23</f>
        <v>348475.7</v>
      </c>
      <c r="G23" s="11">
        <f>851461.7-D23-E23-F23</f>
        <v>502985.99999999994</v>
      </c>
      <c r="H23" s="17">
        <f>1014671.04-D23-E23-F23-G23</f>
        <v>163209.34000000014</v>
      </c>
      <c r="I23" s="11">
        <f>1251194.97-D23-E23-F23-G23-H23</f>
        <v>236523.92999999993</v>
      </c>
      <c r="J23" s="11">
        <f>2750489.08-D23-E23-F23-G23-H23-I23</f>
        <v>1499294.1099999999</v>
      </c>
      <c r="P23" s="11">
        <f t="shared" si="10"/>
        <v>2750489.08</v>
      </c>
    </row>
    <row r="24" spans="1:16" ht="27.95" customHeight="1" x14ac:dyDescent="0.25">
      <c r="A24" s="7" t="s">
        <v>15</v>
      </c>
      <c r="B24" s="40">
        <v>33918500</v>
      </c>
      <c r="C24" s="40">
        <v>91062628.909999996</v>
      </c>
      <c r="D24" s="40"/>
      <c r="E24" s="11">
        <f t="shared" si="3"/>
        <v>0</v>
      </c>
      <c r="F24" s="11">
        <f>3535057.01-D24-E24</f>
        <v>3535057.01</v>
      </c>
      <c r="G24" s="11">
        <f>5315155.48-D24-E24-F24</f>
        <v>1780098.4700000007</v>
      </c>
      <c r="H24" s="17">
        <f>6551198.75-D24-E24-F24-G24</f>
        <v>1236043.2699999996</v>
      </c>
      <c r="I24" s="11">
        <f>8072898.75-D24-E24-F24-G24-H24</f>
        <v>1521700</v>
      </c>
      <c r="J24" s="11">
        <f>9939998.74-D24-E24-F24-G24-H24-I24</f>
        <v>1867099.9900000002</v>
      </c>
      <c r="P24" s="11">
        <f t="shared" si="10"/>
        <v>9939998.7400000002</v>
      </c>
    </row>
    <row r="25" spans="1:16" ht="15" customHeight="1" x14ac:dyDescent="0.25">
      <c r="A25" s="7" t="s">
        <v>38</v>
      </c>
      <c r="B25" s="40">
        <v>14543280</v>
      </c>
      <c r="C25" s="40">
        <v>15402280</v>
      </c>
      <c r="D25" s="40">
        <v>0</v>
      </c>
      <c r="E25" s="11">
        <f t="shared" si="3"/>
        <v>0</v>
      </c>
      <c r="F25" s="11">
        <f>1704714.96-D25-E25</f>
        <v>1704714.96</v>
      </c>
      <c r="G25" s="11">
        <f>2415796.06-D25-E25-F25</f>
        <v>711081.10000000009</v>
      </c>
      <c r="H25" s="17">
        <f>3120181.13-D25-E25-F25-G25</f>
        <v>704385.06999999983</v>
      </c>
      <c r="I25" s="11">
        <f>4070855.45-D25-E25-F25-G25-H25</f>
        <v>950674.3200000003</v>
      </c>
      <c r="J25" s="11">
        <f>4782128.42-D25-E25-F25-G25-H25-I25</f>
        <v>711272.96999999974</v>
      </c>
      <c r="P25" s="11">
        <f t="shared" si="10"/>
        <v>4782128.42</v>
      </c>
    </row>
    <row r="26" spans="1:16" s="28" customFormat="1" ht="19.5" customHeight="1" x14ac:dyDescent="0.25">
      <c r="A26" s="6" t="s">
        <v>16</v>
      </c>
      <c r="B26" s="37">
        <f>SUM(B27:B35)</f>
        <v>15355650</v>
      </c>
      <c r="C26" s="37">
        <f>SUM(C27:C35)</f>
        <v>26480650</v>
      </c>
      <c r="D26" s="37">
        <f>SUM(D27:D35)</f>
        <v>0</v>
      </c>
      <c r="E26" s="38">
        <f>SUM(E27:E35)</f>
        <v>1712300</v>
      </c>
      <c r="F26" s="38">
        <f t="shared" ref="F26:O26" si="11">SUM(F27:F35)</f>
        <v>756826.92</v>
      </c>
      <c r="G26" s="38">
        <f t="shared" si="11"/>
        <v>726541.72</v>
      </c>
      <c r="H26" s="37">
        <f t="shared" si="11"/>
        <v>1450755.9000000001</v>
      </c>
      <c r="I26" s="38">
        <f t="shared" si="11"/>
        <v>1436951.87</v>
      </c>
      <c r="J26" s="38">
        <f t="shared" si="11"/>
        <v>172347.88999999981</v>
      </c>
      <c r="K26" s="38">
        <f t="shared" si="11"/>
        <v>0</v>
      </c>
      <c r="L26" s="38">
        <f t="shared" si="11"/>
        <v>0</v>
      </c>
      <c r="M26" s="38">
        <f t="shared" si="11"/>
        <v>0</v>
      </c>
      <c r="N26" s="38">
        <f t="shared" si="11"/>
        <v>0</v>
      </c>
      <c r="O26" s="38">
        <f t="shared" si="11"/>
        <v>0</v>
      </c>
      <c r="P26" s="37">
        <f>SUM(D26:O26)</f>
        <v>6255724.2999999998</v>
      </c>
    </row>
    <row r="27" spans="1:16" ht="15" customHeight="1" x14ac:dyDescent="0.25">
      <c r="A27" s="7" t="s">
        <v>17</v>
      </c>
      <c r="B27" s="40">
        <v>571050</v>
      </c>
      <c r="C27" s="36">
        <v>1996050</v>
      </c>
      <c r="D27" s="17"/>
      <c r="E27" s="11">
        <f>12300-D27</f>
        <v>12300</v>
      </c>
      <c r="F27" s="11">
        <f>112392.6-D27-E27</f>
        <v>100092.6</v>
      </c>
      <c r="G27" s="11">
        <f>220048.5-D27-E27-F27</f>
        <v>107655.9</v>
      </c>
      <c r="H27" s="17">
        <f>623059.1-D27-E27-F27-G27</f>
        <v>403010.6</v>
      </c>
      <c r="I27" s="11">
        <f>671598.22-D27-E27-F27-G27-H27</f>
        <v>48539.119999999995</v>
      </c>
      <c r="J27" s="11">
        <f>708905.42-D27-E27-F27-G27-H27-I27</f>
        <v>37307.20000000007</v>
      </c>
      <c r="P27" s="11">
        <f>SUM(D27:O27)</f>
        <v>708905.42</v>
      </c>
    </row>
    <row r="28" spans="1:16" ht="15" customHeight="1" x14ac:dyDescent="0.25">
      <c r="A28" s="7" t="s">
        <v>18</v>
      </c>
      <c r="B28" s="40">
        <v>1000000</v>
      </c>
      <c r="C28" s="36">
        <v>2150000</v>
      </c>
      <c r="D28" s="17"/>
      <c r="F28" s="11">
        <f t="shared" si="4"/>
        <v>0</v>
      </c>
      <c r="G28" s="11">
        <f t="shared" ref="G28:G35" si="12">0-D28-E28-F28</f>
        <v>0</v>
      </c>
      <c r="H28" s="17">
        <f t="shared" si="6"/>
        <v>0</v>
      </c>
      <c r="I28" s="11">
        <f t="shared" ref="I28:I34" si="13">0-D28-E28-F28-G28-H28</f>
        <v>0</v>
      </c>
      <c r="J28" s="11">
        <f t="shared" ref="J28:J34" si="14">0-D28-E28-F28-G28-H28-I28</f>
        <v>0</v>
      </c>
      <c r="P28" s="11">
        <f t="shared" ref="P28:P35" si="15">SUM(D28:O28)</f>
        <v>0</v>
      </c>
    </row>
    <row r="29" spans="1:16" ht="15" customHeight="1" x14ac:dyDescent="0.25">
      <c r="A29" s="7" t="s">
        <v>19</v>
      </c>
      <c r="B29" s="40">
        <v>570000</v>
      </c>
      <c r="C29" s="40">
        <v>2270000</v>
      </c>
      <c r="D29" s="17"/>
      <c r="F29" s="11">
        <f>54734.3-D29-E29</f>
        <v>54734.3</v>
      </c>
      <c r="G29" s="11">
        <f>71620.1-D29-E29-F29</f>
        <v>16885.800000000003</v>
      </c>
      <c r="H29" s="17">
        <f>103385.7-D29-E29-F29-G29</f>
        <v>31765.599999999991</v>
      </c>
      <c r="I29" s="11">
        <f>109338.21-D29-E29-F29-G29-H29</f>
        <v>5952.5100000000093</v>
      </c>
      <c r="J29" s="35">
        <f>129865.4-D29-E29-F29-G29-H29-I29</f>
        <v>20527.189999999988</v>
      </c>
      <c r="P29" s="11">
        <f t="shared" si="15"/>
        <v>129865.4</v>
      </c>
    </row>
    <row r="30" spans="1:16" ht="15" customHeight="1" x14ac:dyDescent="0.25">
      <c r="A30" s="7" t="s">
        <v>20</v>
      </c>
      <c r="B30" s="40">
        <v>0</v>
      </c>
      <c r="C30" s="36">
        <v>75000</v>
      </c>
      <c r="D30" s="17"/>
      <c r="F30" s="11">
        <f t="shared" si="4"/>
        <v>0</v>
      </c>
      <c r="G30" s="11">
        <f t="shared" si="12"/>
        <v>0</v>
      </c>
      <c r="H30" s="17">
        <f t="shared" si="6"/>
        <v>0</v>
      </c>
      <c r="I30" s="11">
        <f t="shared" si="13"/>
        <v>0</v>
      </c>
      <c r="J30" s="11">
        <f t="shared" si="14"/>
        <v>0</v>
      </c>
      <c r="P30" s="11">
        <f t="shared" si="15"/>
        <v>0</v>
      </c>
    </row>
    <row r="31" spans="1:16" ht="15" customHeight="1" x14ac:dyDescent="0.25">
      <c r="A31" s="7" t="s">
        <v>21</v>
      </c>
      <c r="B31" s="40">
        <v>300000</v>
      </c>
      <c r="C31" s="40">
        <v>950000</v>
      </c>
      <c r="D31" s="17"/>
      <c r="F31" s="11">
        <f>42000.02-D31-E31</f>
        <v>42000.02</v>
      </c>
      <c r="G31" s="11">
        <f>84000.04-D31-E31-F31</f>
        <v>42000.02</v>
      </c>
      <c r="H31" s="17">
        <f>140900.04-D31-E31-F31-G31</f>
        <v>56900.000000000022</v>
      </c>
      <c r="I31" s="11">
        <f>140900.04-D31-E31-F31-G31-H31</f>
        <v>0</v>
      </c>
      <c r="J31" s="11">
        <f>140900.04-D31-E31-F31-G31-H31-I31</f>
        <v>0</v>
      </c>
      <c r="P31" s="11">
        <f t="shared" si="15"/>
        <v>140900.04</v>
      </c>
    </row>
    <row r="32" spans="1:16" ht="27.95" customHeight="1" x14ac:dyDescent="0.25">
      <c r="A32" s="7" t="s">
        <v>22</v>
      </c>
      <c r="B32" s="40">
        <v>17300</v>
      </c>
      <c r="C32" s="36">
        <v>317300</v>
      </c>
      <c r="D32" s="17"/>
      <c r="F32" s="11">
        <f t="shared" si="4"/>
        <v>0</v>
      </c>
      <c r="G32" s="11">
        <f t="shared" si="12"/>
        <v>0</v>
      </c>
      <c r="H32" s="17">
        <f t="shared" si="6"/>
        <v>0</v>
      </c>
      <c r="I32" s="11">
        <f t="shared" si="13"/>
        <v>0</v>
      </c>
      <c r="J32" s="11">
        <f>365.89-D32-E32-F32-G32-H32-I32</f>
        <v>365.89</v>
      </c>
      <c r="P32" s="11">
        <f t="shared" si="15"/>
        <v>365.89</v>
      </c>
    </row>
    <row r="33" spans="1:16" ht="27.95" customHeight="1" x14ac:dyDescent="0.25">
      <c r="A33" s="7" t="s">
        <v>23</v>
      </c>
      <c r="B33" s="40">
        <v>11388325</v>
      </c>
      <c r="C33" s="40">
        <v>12763325</v>
      </c>
      <c r="D33" s="17"/>
      <c r="E33" s="11">
        <f>1700000-D33</f>
        <v>1700000</v>
      </c>
      <c r="F33" s="11">
        <f>2260000-D33-E33</f>
        <v>560000</v>
      </c>
      <c r="G33" s="11">
        <f>2820000-D33-E33-F33</f>
        <v>560000</v>
      </c>
      <c r="H33" s="17">
        <f>3663174.2-D33-E33-F33-G33</f>
        <v>843174.20000000019</v>
      </c>
      <c r="I33" s="11">
        <f>4504329.2-D33-E33-F33-G33-H33</f>
        <v>841155</v>
      </c>
      <c r="J33" s="11">
        <f>4504923.92-D33-E33-F33-G33-H33-I33</f>
        <v>594.71999999973923</v>
      </c>
      <c r="P33" s="11">
        <f t="shared" si="15"/>
        <v>4504923.92</v>
      </c>
    </row>
    <row r="34" spans="1:16" ht="27.95" customHeight="1" x14ac:dyDescent="0.25">
      <c r="A34" s="7" t="s">
        <v>39</v>
      </c>
      <c r="B34" s="41">
        <v>0</v>
      </c>
      <c r="C34" s="41">
        <v>0</v>
      </c>
      <c r="D34" s="17">
        <v>0</v>
      </c>
      <c r="E34" s="11">
        <v>0</v>
      </c>
      <c r="F34" s="11">
        <f t="shared" si="4"/>
        <v>0</v>
      </c>
      <c r="G34" s="11">
        <f t="shared" si="12"/>
        <v>0</v>
      </c>
      <c r="H34" s="17">
        <f t="shared" si="6"/>
        <v>0</v>
      </c>
      <c r="I34" s="11">
        <f t="shared" si="13"/>
        <v>0</v>
      </c>
      <c r="J34" s="11">
        <f t="shared" si="14"/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si="15"/>
        <v>0</v>
      </c>
    </row>
    <row r="35" spans="1:16" ht="15" customHeight="1" x14ac:dyDescent="0.25">
      <c r="A35" s="7" t="s">
        <v>24</v>
      </c>
      <c r="B35" s="40">
        <v>1508975</v>
      </c>
      <c r="C35" s="40">
        <v>5958975</v>
      </c>
      <c r="D35" s="17"/>
      <c r="F35" s="11">
        <f t="shared" si="4"/>
        <v>0</v>
      </c>
      <c r="G35" s="11">
        <f t="shared" si="12"/>
        <v>0</v>
      </c>
      <c r="H35" s="17">
        <f>115905.5-D35-E35-F35-G35</f>
        <v>115905.5</v>
      </c>
      <c r="I35" s="11">
        <f>657210.74-D35-E35-F35-G35-H35</f>
        <v>541305.24</v>
      </c>
      <c r="J35" s="11">
        <f>770763.63-D35-E35-F35-G35-H35-I35</f>
        <v>113552.89000000001</v>
      </c>
      <c r="P35" s="11">
        <f t="shared" si="15"/>
        <v>770763.63</v>
      </c>
    </row>
    <row r="36" spans="1:16" s="28" customFormat="1" ht="15.95" customHeight="1" x14ac:dyDescent="0.25">
      <c r="A36" s="6" t="s">
        <v>25</v>
      </c>
      <c r="B36" s="37">
        <f>SUM(B37:B43)</f>
        <v>0</v>
      </c>
      <c r="C36" s="39">
        <f>SUM(C37:C43)</f>
        <v>4000000</v>
      </c>
      <c r="D36" s="37">
        <f>SUM(D37:D43)</f>
        <v>0</v>
      </c>
      <c r="E36" s="38">
        <f>SUM(E37:E43)</f>
        <v>0</v>
      </c>
      <c r="F36" s="38">
        <f t="shared" ref="F36" si="16">SUM(F37:F43)</f>
        <v>0</v>
      </c>
      <c r="G36" s="38">
        <f>SUM(G37:G43)</f>
        <v>247000</v>
      </c>
      <c r="H36" s="37">
        <f>SUM(H37:H43)</f>
        <v>0</v>
      </c>
      <c r="I36" s="38">
        <f>SUM(I37:I43)</f>
        <v>450000</v>
      </c>
      <c r="J36" s="38">
        <f>SUM(J37:J43)</f>
        <v>487500</v>
      </c>
      <c r="K36" s="38">
        <f t="shared" ref="K36" si="17">SUM(K37:K43)</f>
        <v>0</v>
      </c>
      <c r="L36" s="38">
        <f t="shared" ref="L36" si="18">SUM(L37:L43)</f>
        <v>0</v>
      </c>
      <c r="M36" s="38">
        <f t="shared" ref="M36" si="19">SUM(M37:M43)</f>
        <v>0</v>
      </c>
      <c r="N36" s="38">
        <f t="shared" ref="N36" si="20">SUM(N37:N43)</f>
        <v>0</v>
      </c>
      <c r="O36" s="38">
        <f t="shared" ref="O36" si="21">SUM(O37:O43)</f>
        <v>0</v>
      </c>
      <c r="P36" s="38">
        <f>SUM(D36:O36)</f>
        <v>1184500</v>
      </c>
    </row>
    <row r="37" spans="1:16" ht="15" customHeight="1" x14ac:dyDescent="0.25">
      <c r="A37" s="7" t="s">
        <v>26</v>
      </c>
      <c r="B37" s="17">
        <v>0</v>
      </c>
      <c r="C37" s="16">
        <v>4000000</v>
      </c>
      <c r="D37" s="17">
        <v>0</v>
      </c>
      <c r="E37" s="11">
        <v>0</v>
      </c>
      <c r="F37" s="11">
        <f>0-D37-E37</f>
        <v>0</v>
      </c>
      <c r="G37" s="11">
        <f>247000-D37-E37-F37</f>
        <v>247000</v>
      </c>
      <c r="H37" s="17">
        <f>247000-D37-E37-F37-G37</f>
        <v>0</v>
      </c>
      <c r="I37" s="11">
        <f>697000-D37-E37-F37-G37-H37</f>
        <v>450000</v>
      </c>
      <c r="J37" s="11">
        <f>1184500-D37-E37-F37-G37-H37-I37</f>
        <v>487500</v>
      </c>
      <c r="K37" s="11">
        <v>0</v>
      </c>
      <c r="L37" s="12">
        <v>0</v>
      </c>
      <c r="M37" s="11">
        <v>0</v>
      </c>
      <c r="N37" s="11">
        <v>0</v>
      </c>
      <c r="O37" s="11">
        <v>0</v>
      </c>
      <c r="P37" s="11">
        <f>SUM(D37:O37)</f>
        <v>1184500</v>
      </c>
    </row>
    <row r="38" spans="1:16" ht="26.1" customHeight="1" x14ac:dyDescent="0.25">
      <c r="A38" s="7" t="s">
        <v>40</v>
      </c>
      <c r="B38" s="17"/>
      <c r="C38" s="16"/>
      <c r="D38" s="17"/>
      <c r="H38" s="17"/>
      <c r="N38" s="11">
        <f t="shared" ref="N38:N73" si="22">0-D38-E38-F38-G38-H38-I38-J38-K38-L38-M38</f>
        <v>0</v>
      </c>
      <c r="O38" s="11">
        <f>0-E38-F38-G38-H38-I38-J38-K38-L38-M38-N38-D38</f>
        <v>0</v>
      </c>
      <c r="P38" s="11">
        <f t="shared" ref="P38:P43" si="23">SUM(D38:O38)</f>
        <v>0</v>
      </c>
    </row>
    <row r="39" spans="1:16" ht="26.1" customHeight="1" x14ac:dyDescent="0.25">
      <c r="A39" s="7" t="s">
        <v>41</v>
      </c>
      <c r="B39" s="17"/>
      <c r="C39" s="16"/>
      <c r="D39" s="17"/>
      <c r="H39" s="17"/>
      <c r="N39" s="11">
        <f t="shared" si="22"/>
        <v>0</v>
      </c>
      <c r="P39" s="11">
        <f t="shared" si="23"/>
        <v>0</v>
      </c>
    </row>
    <row r="40" spans="1:16" ht="26.1" customHeight="1" x14ac:dyDescent="0.25">
      <c r="A40" s="7" t="s">
        <v>42</v>
      </c>
      <c r="B40" s="17"/>
      <c r="C40" s="16"/>
      <c r="D40" s="17"/>
      <c r="H40" s="17"/>
      <c r="N40" s="11">
        <f t="shared" si="22"/>
        <v>0</v>
      </c>
      <c r="P40" s="11">
        <f t="shared" si="23"/>
        <v>0</v>
      </c>
    </row>
    <row r="41" spans="1:16" ht="26.1" customHeight="1" x14ac:dyDescent="0.25">
      <c r="A41" s="7" t="s">
        <v>43</v>
      </c>
      <c r="B41" s="17"/>
      <c r="C41" s="16"/>
      <c r="D41" s="17"/>
      <c r="H41" s="17"/>
      <c r="N41" s="11">
        <f t="shared" si="22"/>
        <v>0</v>
      </c>
      <c r="P41" s="11">
        <f t="shared" si="23"/>
        <v>0</v>
      </c>
    </row>
    <row r="42" spans="1:16" ht="15" customHeight="1" x14ac:dyDescent="0.25">
      <c r="A42" s="7" t="s">
        <v>27</v>
      </c>
      <c r="B42" s="17"/>
      <c r="C42" s="16"/>
      <c r="D42" s="17"/>
      <c r="H42" s="17"/>
      <c r="N42" s="11">
        <f t="shared" si="22"/>
        <v>0</v>
      </c>
      <c r="P42" s="11">
        <f t="shared" si="23"/>
        <v>0</v>
      </c>
    </row>
    <row r="43" spans="1:16" ht="27.95" customHeight="1" x14ac:dyDescent="0.25">
      <c r="A43" s="7" t="s">
        <v>44</v>
      </c>
      <c r="B43" s="17"/>
      <c r="C43" s="16"/>
      <c r="D43" s="17"/>
      <c r="H43" s="17"/>
      <c r="N43" s="11">
        <f t="shared" si="22"/>
        <v>0</v>
      </c>
      <c r="P43" s="11">
        <f t="shared" si="23"/>
        <v>0</v>
      </c>
    </row>
    <row r="44" spans="1:16" s="28" customFormat="1" ht="15.95" customHeight="1" x14ac:dyDescent="0.25">
      <c r="A44" s="6" t="s">
        <v>45</v>
      </c>
      <c r="B44" s="37">
        <f>SUM(B45:B51)</f>
        <v>0</v>
      </c>
      <c r="C44" s="39">
        <f t="shared" ref="C44:O44" si="24">SUM(C45:C51)</f>
        <v>5000000</v>
      </c>
      <c r="D44" s="37">
        <f t="shared" si="24"/>
        <v>0</v>
      </c>
      <c r="E44" s="38">
        <f>SUM(E45:E51)</f>
        <v>0</v>
      </c>
      <c r="F44" s="38">
        <f t="shared" si="24"/>
        <v>0</v>
      </c>
      <c r="G44" s="38">
        <f t="shared" si="24"/>
        <v>0</v>
      </c>
      <c r="H44" s="37">
        <f t="shared" si="24"/>
        <v>0</v>
      </c>
      <c r="I44" s="38">
        <f t="shared" si="24"/>
        <v>0</v>
      </c>
      <c r="J44" s="38">
        <f t="shared" si="24"/>
        <v>0</v>
      </c>
      <c r="K44" s="38">
        <f t="shared" si="24"/>
        <v>0</v>
      </c>
      <c r="L44" s="38">
        <f t="shared" si="24"/>
        <v>0</v>
      </c>
      <c r="M44" s="38">
        <f t="shared" si="24"/>
        <v>0</v>
      </c>
      <c r="N44" s="38">
        <f t="shared" si="24"/>
        <v>0</v>
      </c>
      <c r="O44" s="38">
        <f t="shared" si="24"/>
        <v>0</v>
      </c>
      <c r="P44" s="38">
        <f>SUM(D44:O44)</f>
        <v>0</v>
      </c>
    </row>
    <row r="45" spans="1:16" x14ac:dyDescent="0.25">
      <c r="A45" s="7" t="s">
        <v>46</v>
      </c>
      <c r="B45" s="17"/>
      <c r="C45" s="16"/>
      <c r="D45" s="17"/>
      <c r="H45" s="17"/>
      <c r="N45" s="11">
        <f t="shared" si="22"/>
        <v>0</v>
      </c>
      <c r="P45" s="11">
        <f>SUM(D45:O45)</f>
        <v>0</v>
      </c>
    </row>
    <row r="46" spans="1:16" ht="26.1" customHeight="1" x14ac:dyDescent="0.25">
      <c r="A46" s="7" t="s">
        <v>47</v>
      </c>
      <c r="B46" s="17"/>
      <c r="C46" s="16"/>
      <c r="D46" s="17"/>
      <c r="H46" s="17"/>
      <c r="N46" s="11">
        <f t="shared" si="22"/>
        <v>0</v>
      </c>
      <c r="P46" s="11">
        <f t="shared" ref="P46:P51" si="25">SUM(D46:O46)</f>
        <v>0</v>
      </c>
    </row>
    <row r="47" spans="1:16" ht="26.1" customHeight="1" x14ac:dyDescent="0.25">
      <c r="A47" s="7" t="s">
        <v>48</v>
      </c>
      <c r="B47" s="17"/>
      <c r="C47" s="16"/>
      <c r="D47" s="17"/>
      <c r="H47" s="17"/>
      <c r="N47" s="11">
        <f t="shared" si="22"/>
        <v>0</v>
      </c>
      <c r="P47" s="11">
        <f t="shared" si="25"/>
        <v>0</v>
      </c>
    </row>
    <row r="48" spans="1:16" ht="27.95" customHeight="1" x14ac:dyDescent="0.25">
      <c r="A48" s="7" t="s">
        <v>49</v>
      </c>
      <c r="B48" s="17">
        <v>0</v>
      </c>
      <c r="C48" s="16">
        <v>5000000</v>
      </c>
      <c r="D48" s="17"/>
      <c r="H48" s="17"/>
      <c r="I48" s="11">
        <f>0-D48-E48-F48-G48-H48</f>
        <v>0</v>
      </c>
      <c r="N48" s="11">
        <f t="shared" si="22"/>
        <v>0</v>
      </c>
      <c r="P48" s="11">
        <f t="shared" si="25"/>
        <v>0</v>
      </c>
    </row>
    <row r="49" spans="1:16" ht="26.1" customHeight="1" x14ac:dyDescent="0.25">
      <c r="A49" s="7" t="s">
        <v>50</v>
      </c>
      <c r="B49" s="17"/>
      <c r="C49" s="16"/>
      <c r="D49" s="17"/>
      <c r="H49" s="17"/>
      <c r="N49" s="11">
        <f t="shared" si="22"/>
        <v>0</v>
      </c>
      <c r="P49" s="11">
        <f t="shared" si="25"/>
        <v>0</v>
      </c>
    </row>
    <row r="50" spans="1:16" ht="15" customHeight="1" x14ac:dyDescent="0.25">
      <c r="A50" s="7" t="s">
        <v>51</v>
      </c>
      <c r="B50" s="17"/>
      <c r="C50" s="16"/>
      <c r="D50" s="17"/>
      <c r="H50" s="17"/>
      <c r="N50" s="11">
        <f t="shared" si="22"/>
        <v>0</v>
      </c>
      <c r="P50" s="11">
        <f t="shared" si="25"/>
        <v>0</v>
      </c>
    </row>
    <row r="51" spans="1:16" ht="26.1" customHeight="1" x14ac:dyDescent="0.25">
      <c r="A51" s="7" t="s">
        <v>52</v>
      </c>
      <c r="B51" s="17"/>
      <c r="C51" s="16"/>
      <c r="D51" s="17"/>
      <c r="H51" s="17"/>
      <c r="N51" s="11">
        <f t="shared" si="22"/>
        <v>0</v>
      </c>
      <c r="P51" s="11">
        <f t="shared" si="25"/>
        <v>0</v>
      </c>
    </row>
    <row r="52" spans="1:16" s="28" customFormat="1" ht="15.95" customHeight="1" x14ac:dyDescent="0.25">
      <c r="A52" s="6" t="s">
        <v>28</v>
      </c>
      <c r="B52" s="37">
        <f>SUM(B53:B61)</f>
        <v>943458</v>
      </c>
      <c r="C52" s="37">
        <f>SUM(C53:C61)</f>
        <v>24143458</v>
      </c>
      <c r="D52" s="37">
        <f>SUM(D53:D61)</f>
        <v>0</v>
      </c>
      <c r="E52" s="38">
        <f>SUM(E53:E61)</f>
        <v>0</v>
      </c>
      <c r="F52" s="38">
        <f t="shared" ref="F52:O52" si="26">SUM(F53:F61)</f>
        <v>721271.88</v>
      </c>
      <c r="G52" s="38">
        <f t="shared" si="26"/>
        <v>0</v>
      </c>
      <c r="H52" s="37">
        <f t="shared" si="26"/>
        <v>448755.68999999994</v>
      </c>
      <c r="I52" s="38">
        <f t="shared" si="26"/>
        <v>13350.520000000019</v>
      </c>
      <c r="J52" s="38">
        <f t="shared" si="26"/>
        <v>836074.84</v>
      </c>
      <c r="K52" s="38">
        <f t="shared" si="26"/>
        <v>0</v>
      </c>
      <c r="L52" s="38">
        <f t="shared" si="26"/>
        <v>0</v>
      </c>
      <c r="M52" s="38">
        <f t="shared" si="26"/>
        <v>0</v>
      </c>
      <c r="N52" s="38">
        <f t="shared" si="26"/>
        <v>0</v>
      </c>
      <c r="O52" s="38">
        <f t="shared" si="26"/>
        <v>0</v>
      </c>
      <c r="P52" s="37">
        <f>SUM(D52:O52)</f>
        <v>2019452.9299999997</v>
      </c>
    </row>
    <row r="53" spans="1:16" x14ac:dyDescent="0.25">
      <c r="A53" s="7" t="s">
        <v>29</v>
      </c>
      <c r="B53" s="40">
        <v>915000</v>
      </c>
      <c r="C53" s="40">
        <v>9815000</v>
      </c>
      <c r="D53" s="17"/>
      <c r="F53" s="11">
        <f>697471.89-D53-E53</f>
        <v>697471.89</v>
      </c>
      <c r="G53" s="11">
        <f>697471.89-D53-E53-F53</f>
        <v>0</v>
      </c>
      <c r="H53" s="17">
        <f>761327.59-D53-E53-F53-G53</f>
        <v>63855.699999999953</v>
      </c>
      <c r="I53" s="11">
        <f>765828.11-D53-E53-F53-G53-H53</f>
        <v>4500.5200000000186</v>
      </c>
      <c r="J53" s="11">
        <f>1594822.95-D53-E53-F53-G53-H53-I53</f>
        <v>828994.84</v>
      </c>
      <c r="P53" s="11">
        <f>SUM(D53:O53)</f>
        <v>1594822.95</v>
      </c>
    </row>
    <row r="54" spans="1:16" ht="27.95" customHeight="1" x14ac:dyDescent="0.25">
      <c r="A54" s="7" t="s">
        <v>30</v>
      </c>
      <c r="B54" s="40"/>
      <c r="C54" s="36">
        <v>400000</v>
      </c>
      <c r="D54" s="17"/>
      <c r="F54" s="11">
        <f>23799.99-D54-E54</f>
        <v>23799.99</v>
      </c>
      <c r="G54" s="11">
        <f>23799.99-D54-E54-F54</f>
        <v>0</v>
      </c>
      <c r="H54" s="17">
        <f>23799.99-D54-E54-F54-G54</f>
        <v>0</v>
      </c>
      <c r="I54" s="11">
        <f>23799.99-D54-E54-F54-G54-H54</f>
        <v>0</v>
      </c>
      <c r="J54" s="11">
        <f>23799.99-D54-E54-F54-G54-H54-I54</f>
        <v>0</v>
      </c>
      <c r="P54" s="11">
        <f t="shared" ref="P54:P60" si="27">SUM(D54:O54)</f>
        <v>23799.99</v>
      </c>
    </row>
    <row r="55" spans="1:16" ht="26.1" customHeight="1" x14ac:dyDescent="0.25">
      <c r="A55" s="7" t="s">
        <v>31</v>
      </c>
      <c r="B55" s="40">
        <v>0</v>
      </c>
      <c r="C55" s="36">
        <v>0</v>
      </c>
      <c r="D55" s="17"/>
      <c r="F55" s="11">
        <f t="shared" ref="F55:F61" si="28">0-D55-E55</f>
        <v>0</v>
      </c>
      <c r="G55" s="11">
        <f t="shared" ref="G55:G61" si="29">0-D55-E55-F55</f>
        <v>0</v>
      </c>
      <c r="H55" s="17">
        <f t="shared" ref="H55:H61" si="30">0-D55-E55-F55-G55</f>
        <v>0</v>
      </c>
      <c r="I55" s="11">
        <f t="shared" ref="I55:I61" si="31">0-D55-E55-F55-G55-H55</f>
        <v>0</v>
      </c>
      <c r="J55" s="11">
        <f t="shared" ref="J55:J61" si="32">0-D55-E55-F55-G55-H55-I55</f>
        <v>0</v>
      </c>
      <c r="P55" s="11">
        <f t="shared" si="27"/>
        <v>0</v>
      </c>
    </row>
    <row r="56" spans="1:16" ht="27.95" customHeight="1" x14ac:dyDescent="0.25">
      <c r="A56" s="7" t="s">
        <v>32</v>
      </c>
      <c r="B56" s="40">
        <v>0</v>
      </c>
      <c r="C56" s="36">
        <v>450000</v>
      </c>
      <c r="D56" s="17"/>
      <c r="F56" s="11">
        <f t="shared" si="28"/>
        <v>0</v>
      </c>
      <c r="G56" s="11">
        <f t="shared" si="29"/>
        <v>0</v>
      </c>
      <c r="H56" s="17">
        <f>384899.99-D56-E56-F56-G56</f>
        <v>384899.99</v>
      </c>
      <c r="I56" s="11">
        <f>384899.99-D56-E56-F56-G56-H56</f>
        <v>0</v>
      </c>
      <c r="J56" s="11">
        <f>384899.99-D56-E56-F56-G56-H56-I56</f>
        <v>0</v>
      </c>
      <c r="P56" s="11">
        <f t="shared" si="27"/>
        <v>384899.99</v>
      </c>
    </row>
    <row r="57" spans="1:16" ht="15" customHeight="1" x14ac:dyDescent="0.25">
      <c r="A57" s="7" t="s">
        <v>33</v>
      </c>
      <c r="B57" s="40">
        <v>28458</v>
      </c>
      <c r="C57" s="40">
        <v>2978458</v>
      </c>
      <c r="D57" s="17"/>
      <c r="F57" s="11">
        <f t="shared" si="28"/>
        <v>0</v>
      </c>
      <c r="G57" s="11">
        <f t="shared" si="29"/>
        <v>0</v>
      </c>
      <c r="H57" s="17">
        <f t="shared" si="30"/>
        <v>0</v>
      </c>
      <c r="I57" s="11">
        <f>8850-D57-E57-F57-G57-H57</f>
        <v>8850</v>
      </c>
      <c r="J57" s="11">
        <f>8850-D57-E57-F57-G57-H57-I57</f>
        <v>0</v>
      </c>
      <c r="P57" s="11">
        <f t="shared" si="27"/>
        <v>8850</v>
      </c>
    </row>
    <row r="58" spans="1:16" ht="15" customHeight="1" x14ac:dyDescent="0.25">
      <c r="A58" s="7" t="s">
        <v>53</v>
      </c>
      <c r="B58" s="40">
        <v>0</v>
      </c>
      <c r="C58" s="36">
        <v>1500000</v>
      </c>
      <c r="D58" s="17"/>
      <c r="F58" s="11">
        <f t="shared" si="28"/>
        <v>0</v>
      </c>
      <c r="G58" s="11">
        <f t="shared" si="29"/>
        <v>0</v>
      </c>
      <c r="H58" s="17">
        <f t="shared" si="30"/>
        <v>0</v>
      </c>
      <c r="I58" s="11">
        <f t="shared" si="31"/>
        <v>0</v>
      </c>
      <c r="J58" s="11">
        <f>7080-D58-E58-F58-G58-H58-I58</f>
        <v>7080</v>
      </c>
      <c r="P58" s="11">
        <f t="shared" si="27"/>
        <v>7080</v>
      </c>
    </row>
    <row r="59" spans="1:16" ht="15" customHeight="1" x14ac:dyDescent="0.25">
      <c r="A59" s="7" t="s">
        <v>54</v>
      </c>
      <c r="B59" s="40">
        <v>0</v>
      </c>
      <c r="C59" s="36">
        <v>0</v>
      </c>
      <c r="D59" s="17"/>
      <c r="F59" s="11">
        <f t="shared" si="28"/>
        <v>0</v>
      </c>
      <c r="G59" s="11">
        <f t="shared" si="29"/>
        <v>0</v>
      </c>
      <c r="H59" s="17">
        <f t="shared" si="30"/>
        <v>0</v>
      </c>
      <c r="I59" s="11">
        <f t="shared" si="31"/>
        <v>0</v>
      </c>
      <c r="J59" s="11">
        <f t="shared" si="32"/>
        <v>0</v>
      </c>
      <c r="P59" s="11">
        <f t="shared" si="27"/>
        <v>0</v>
      </c>
    </row>
    <row r="60" spans="1:16" ht="15" customHeight="1" x14ac:dyDescent="0.25">
      <c r="A60" s="7" t="s">
        <v>34</v>
      </c>
      <c r="B60" s="40"/>
      <c r="C60" s="36">
        <v>7000000</v>
      </c>
      <c r="D60" s="17"/>
      <c r="F60" s="11">
        <f t="shared" si="28"/>
        <v>0</v>
      </c>
      <c r="G60" s="11">
        <f t="shared" si="29"/>
        <v>0</v>
      </c>
      <c r="H60" s="17">
        <f t="shared" si="30"/>
        <v>0</v>
      </c>
      <c r="I60" s="11">
        <f t="shared" si="31"/>
        <v>0</v>
      </c>
      <c r="J60" s="11">
        <f t="shared" si="32"/>
        <v>0</v>
      </c>
      <c r="P60" s="11">
        <f t="shared" si="27"/>
        <v>0</v>
      </c>
    </row>
    <row r="61" spans="1:16" ht="27.95" customHeight="1" x14ac:dyDescent="0.25">
      <c r="A61" s="7" t="s">
        <v>55</v>
      </c>
      <c r="B61" s="40">
        <v>0</v>
      </c>
      <c r="C61" s="36">
        <v>2000000</v>
      </c>
      <c r="D61" s="17"/>
      <c r="F61" s="11">
        <f t="shared" si="28"/>
        <v>0</v>
      </c>
      <c r="G61" s="11">
        <f t="shared" si="29"/>
        <v>0</v>
      </c>
      <c r="H61" s="17">
        <f t="shared" si="30"/>
        <v>0</v>
      </c>
      <c r="I61" s="11">
        <f t="shared" si="31"/>
        <v>0</v>
      </c>
      <c r="J61" s="11">
        <f t="shared" si="32"/>
        <v>0</v>
      </c>
      <c r="P61" s="11">
        <f>SUM(D61:O61)</f>
        <v>0</v>
      </c>
    </row>
    <row r="62" spans="1:16" s="28" customFormat="1" ht="15.95" customHeight="1" x14ac:dyDescent="0.25">
      <c r="A62" s="6" t="s">
        <v>56</v>
      </c>
      <c r="B62" s="37">
        <f>SUM(B63:B66)</f>
        <v>0</v>
      </c>
      <c r="C62" s="39">
        <f t="shared" ref="C62:D62" si="33">SUM(C63:C66)</f>
        <v>0</v>
      </c>
      <c r="D62" s="37">
        <f t="shared" si="33"/>
        <v>0</v>
      </c>
      <c r="E62" s="38">
        <f>SUM(E63:E66)</f>
        <v>0</v>
      </c>
      <c r="F62" s="38">
        <f t="shared" ref="F62:O62" si="34">SUM(F63:F66)</f>
        <v>0</v>
      </c>
      <c r="G62" s="38">
        <f t="shared" si="34"/>
        <v>0</v>
      </c>
      <c r="H62" s="37">
        <f t="shared" si="34"/>
        <v>0</v>
      </c>
      <c r="I62" s="38">
        <f t="shared" si="34"/>
        <v>0</v>
      </c>
      <c r="J62" s="38">
        <f t="shared" si="34"/>
        <v>0</v>
      </c>
      <c r="K62" s="38">
        <f t="shared" si="34"/>
        <v>0</v>
      </c>
      <c r="L62" s="38">
        <f t="shared" si="34"/>
        <v>0</v>
      </c>
      <c r="M62" s="38">
        <f t="shared" si="34"/>
        <v>0</v>
      </c>
      <c r="N62" s="38">
        <f t="shared" si="34"/>
        <v>0</v>
      </c>
      <c r="O62" s="38">
        <f t="shared" si="34"/>
        <v>0</v>
      </c>
      <c r="P62" s="38">
        <f>SUM(D62:O62)</f>
        <v>0</v>
      </c>
    </row>
    <row r="63" spans="1:16" x14ac:dyDescent="0.25">
      <c r="A63" s="7" t="s">
        <v>57</v>
      </c>
      <c r="B63" s="17"/>
      <c r="C63" s="16"/>
      <c r="D63" s="17"/>
      <c r="H63" s="17"/>
      <c r="P63" s="11">
        <f>SUM(D63:O63)</f>
        <v>0</v>
      </c>
    </row>
    <row r="64" spans="1:16" x14ac:dyDescent="0.25">
      <c r="A64" s="7" t="s">
        <v>58</v>
      </c>
      <c r="B64" s="17">
        <v>0</v>
      </c>
      <c r="C64" s="16">
        <v>0</v>
      </c>
      <c r="D64" s="17"/>
      <c r="H64" s="17"/>
      <c r="P64" s="11">
        <f t="shared" ref="P64:P66" si="35">SUM(D64:O64)</f>
        <v>0</v>
      </c>
    </row>
    <row r="65" spans="1:16" x14ac:dyDescent="0.25">
      <c r="A65" s="7" t="s">
        <v>59</v>
      </c>
      <c r="B65" s="17">
        <v>0</v>
      </c>
      <c r="C65" s="16">
        <v>0</v>
      </c>
      <c r="D65" s="17"/>
      <c r="H65" s="17"/>
      <c r="P65" s="11">
        <f t="shared" si="35"/>
        <v>0</v>
      </c>
    </row>
    <row r="66" spans="1:16" ht="26.1" customHeight="1" x14ac:dyDescent="0.25">
      <c r="A66" s="7" t="s">
        <v>60</v>
      </c>
      <c r="B66" s="17">
        <v>0</v>
      </c>
      <c r="C66" s="16">
        <v>0</v>
      </c>
      <c r="D66" s="17"/>
      <c r="H66" s="17"/>
      <c r="P66" s="11">
        <f t="shared" si="35"/>
        <v>0</v>
      </c>
    </row>
    <row r="67" spans="1:16" s="28" customFormat="1" ht="30" x14ac:dyDescent="0.25">
      <c r="A67" s="6" t="s">
        <v>61</v>
      </c>
      <c r="B67" s="37">
        <f>SUM(B68:B69)</f>
        <v>0</v>
      </c>
      <c r="C67" s="39">
        <f t="shared" ref="C67:O67" si="36">SUM(C68:C69)</f>
        <v>0</v>
      </c>
      <c r="D67" s="37">
        <f t="shared" si="36"/>
        <v>0</v>
      </c>
      <c r="E67" s="38">
        <f>SUM(E68:E69)</f>
        <v>0</v>
      </c>
      <c r="F67" s="38">
        <f t="shared" si="36"/>
        <v>0</v>
      </c>
      <c r="G67" s="38">
        <f t="shared" si="36"/>
        <v>0</v>
      </c>
      <c r="H67" s="37">
        <f t="shared" si="36"/>
        <v>0</v>
      </c>
      <c r="I67" s="38">
        <f t="shared" si="36"/>
        <v>0</v>
      </c>
      <c r="J67" s="38">
        <f t="shared" si="36"/>
        <v>0</v>
      </c>
      <c r="K67" s="38">
        <f t="shared" si="36"/>
        <v>0</v>
      </c>
      <c r="L67" s="38">
        <f t="shared" si="36"/>
        <v>0</v>
      </c>
      <c r="M67" s="38">
        <f t="shared" si="36"/>
        <v>0</v>
      </c>
      <c r="N67" s="38">
        <f t="shared" si="36"/>
        <v>0</v>
      </c>
      <c r="O67" s="38">
        <f t="shared" si="36"/>
        <v>0</v>
      </c>
      <c r="P67" s="38">
        <f>SUM(D67:O67)</f>
        <v>0</v>
      </c>
    </row>
    <row r="68" spans="1:16" x14ac:dyDescent="0.25">
      <c r="A68" s="7" t="s">
        <v>62</v>
      </c>
      <c r="B68" s="17">
        <v>0</v>
      </c>
      <c r="C68" s="16">
        <v>0</v>
      </c>
      <c r="D68" s="17">
        <v>0</v>
      </c>
      <c r="H68" s="17"/>
      <c r="N68" s="11">
        <f t="shared" si="22"/>
        <v>0</v>
      </c>
      <c r="P68" s="11">
        <f>SUM(D68:O68)</f>
        <v>0</v>
      </c>
    </row>
    <row r="69" spans="1:16" ht="30" x14ac:dyDescent="0.25">
      <c r="A69" s="7" t="s">
        <v>63</v>
      </c>
      <c r="B69" s="17">
        <v>0</v>
      </c>
      <c r="C69" s="16"/>
      <c r="D69" s="17">
        <v>0</v>
      </c>
      <c r="H69" s="17"/>
      <c r="N69" s="11">
        <f t="shared" si="22"/>
        <v>0</v>
      </c>
      <c r="P69" s="11">
        <f t="shared" ref="P69:P73" si="37">SUM(D69:O69)</f>
        <v>0</v>
      </c>
    </row>
    <row r="70" spans="1:16" s="28" customFormat="1" ht="15.95" customHeight="1" x14ac:dyDescent="0.25">
      <c r="A70" s="6" t="s">
        <v>64</v>
      </c>
      <c r="B70" s="14">
        <f>SUM(B71:B73)</f>
        <v>0</v>
      </c>
      <c r="C70" s="15">
        <f t="shared" ref="C70:O70" si="38">SUM(C71:C73)</f>
        <v>0</v>
      </c>
      <c r="D70" s="14">
        <f t="shared" si="38"/>
        <v>0</v>
      </c>
      <c r="E70" s="12">
        <f>SUM(E71:E73)</f>
        <v>0</v>
      </c>
      <c r="F70" s="12">
        <f t="shared" si="38"/>
        <v>0</v>
      </c>
      <c r="G70" s="12">
        <f t="shared" si="38"/>
        <v>0</v>
      </c>
      <c r="H70" s="14">
        <f t="shared" si="38"/>
        <v>0</v>
      </c>
      <c r="I70" s="12">
        <f t="shared" si="38"/>
        <v>0</v>
      </c>
      <c r="J70" s="12">
        <f t="shared" si="38"/>
        <v>0</v>
      </c>
      <c r="K70" s="12">
        <f t="shared" si="38"/>
        <v>0</v>
      </c>
      <c r="L70" s="12">
        <f t="shared" si="38"/>
        <v>0</v>
      </c>
      <c r="M70" s="12">
        <f t="shared" si="38"/>
        <v>0</v>
      </c>
      <c r="N70" s="12">
        <f t="shared" si="38"/>
        <v>0</v>
      </c>
      <c r="O70" s="12">
        <f t="shared" si="38"/>
        <v>0</v>
      </c>
      <c r="P70" s="12">
        <f t="shared" si="37"/>
        <v>0</v>
      </c>
    </row>
    <row r="71" spans="1:16" ht="15.95" customHeight="1" x14ac:dyDescent="0.25">
      <c r="A71" s="7" t="s">
        <v>65</v>
      </c>
      <c r="B71" s="17">
        <v>0</v>
      </c>
      <c r="C71" s="16">
        <v>0</v>
      </c>
      <c r="D71" s="17">
        <v>0</v>
      </c>
      <c r="H71" s="17"/>
      <c r="N71" s="11">
        <f t="shared" si="22"/>
        <v>0</v>
      </c>
      <c r="P71" s="11">
        <f t="shared" si="37"/>
        <v>0</v>
      </c>
    </row>
    <row r="72" spans="1:16" ht="15.95" customHeight="1" x14ac:dyDescent="0.25">
      <c r="A72" s="7" t="s">
        <v>66</v>
      </c>
      <c r="B72" s="17">
        <v>0</v>
      </c>
      <c r="C72" s="16">
        <v>0</v>
      </c>
      <c r="D72" s="17">
        <v>0</v>
      </c>
      <c r="H72" s="17"/>
      <c r="N72" s="11">
        <f t="shared" si="22"/>
        <v>0</v>
      </c>
      <c r="P72" s="11">
        <f t="shared" si="37"/>
        <v>0</v>
      </c>
    </row>
    <row r="73" spans="1:16" ht="26.1" customHeight="1" x14ac:dyDescent="0.25">
      <c r="A73" s="7" t="s">
        <v>67</v>
      </c>
      <c r="B73" s="17">
        <v>0</v>
      </c>
      <c r="C73" s="16">
        <v>0</v>
      </c>
      <c r="D73" s="17">
        <v>0</v>
      </c>
      <c r="H73" s="17"/>
      <c r="N73" s="11">
        <f t="shared" si="22"/>
        <v>0</v>
      </c>
      <c r="P73" s="11">
        <f t="shared" si="37"/>
        <v>0</v>
      </c>
    </row>
    <row r="74" spans="1:16" ht="20.100000000000001" customHeight="1" x14ac:dyDescent="0.25">
      <c r="A74" s="8" t="s">
        <v>35</v>
      </c>
      <c r="B74" s="18">
        <f>SUM(B10,B16,B26,B36,B44,B52,B62,B67,B70)</f>
        <v>354000000</v>
      </c>
      <c r="C74" s="18">
        <f t="shared" ref="C74:O74" si="39">SUM(C10,C16,C26,C36,C44,C52,C62,C67,C70)</f>
        <v>471119128.90999997</v>
      </c>
      <c r="D74" s="18">
        <f t="shared" si="39"/>
        <v>11851531.859999999</v>
      </c>
      <c r="E74" s="19">
        <f t="shared" si="39"/>
        <v>14871649.939999999</v>
      </c>
      <c r="F74" s="19">
        <f t="shared" si="39"/>
        <v>21584749.810000002</v>
      </c>
      <c r="G74" s="19">
        <f t="shared" si="39"/>
        <v>17856496.849999994</v>
      </c>
      <c r="H74" s="18">
        <f t="shared" si="39"/>
        <v>29572680.489999998</v>
      </c>
      <c r="I74" s="19">
        <f t="shared" si="39"/>
        <v>21326420.640000001</v>
      </c>
      <c r="J74" s="19">
        <f t="shared" si="39"/>
        <v>22265664.859999992</v>
      </c>
      <c r="K74" s="19">
        <f t="shared" si="39"/>
        <v>0</v>
      </c>
      <c r="L74" s="19">
        <f t="shared" si="39"/>
        <v>0</v>
      </c>
      <c r="M74" s="19">
        <f t="shared" si="39"/>
        <v>0</v>
      </c>
      <c r="N74" s="19">
        <f t="shared" si="39"/>
        <v>0</v>
      </c>
      <c r="O74" s="19">
        <f t="shared" si="39"/>
        <v>0</v>
      </c>
      <c r="P74" s="19">
        <f>SUM(D74:O74)</f>
        <v>139329194.44999999</v>
      </c>
    </row>
    <row r="75" spans="1:16" ht="9" customHeight="1" x14ac:dyDescent="0.25">
      <c r="A75" s="9"/>
      <c r="B75" s="17"/>
      <c r="C75" s="16"/>
      <c r="D75" s="17"/>
      <c r="H75" s="17"/>
    </row>
    <row r="76" spans="1:16" ht="18" customHeight="1" x14ac:dyDescent="0.25">
      <c r="A76" s="5" t="s">
        <v>68</v>
      </c>
      <c r="B76" s="13">
        <f>SUM(B77,B80,B83)</f>
        <v>0</v>
      </c>
      <c r="C76" s="13">
        <f t="shared" ref="C76:O76" si="40">SUM(C77,C80,C83)</f>
        <v>0</v>
      </c>
      <c r="D76" s="13">
        <f t="shared" si="40"/>
        <v>0</v>
      </c>
      <c r="E76" s="20">
        <f t="shared" si="40"/>
        <v>0</v>
      </c>
      <c r="F76" s="20">
        <f t="shared" si="40"/>
        <v>0</v>
      </c>
      <c r="G76" s="20">
        <f t="shared" si="40"/>
        <v>0</v>
      </c>
      <c r="H76" s="13">
        <f t="shared" si="40"/>
        <v>0</v>
      </c>
      <c r="I76" s="20">
        <f t="shared" si="40"/>
        <v>0</v>
      </c>
      <c r="J76" s="20">
        <f t="shared" si="40"/>
        <v>0</v>
      </c>
      <c r="K76" s="20">
        <f t="shared" si="40"/>
        <v>0</v>
      </c>
      <c r="L76" s="20">
        <f t="shared" si="40"/>
        <v>0</v>
      </c>
      <c r="M76" s="20">
        <f t="shared" si="40"/>
        <v>0</v>
      </c>
      <c r="N76" s="20">
        <f t="shared" si="40"/>
        <v>0</v>
      </c>
      <c r="O76" s="20">
        <f t="shared" si="40"/>
        <v>0</v>
      </c>
      <c r="P76" s="20">
        <f>SUM(D76:O76)</f>
        <v>0</v>
      </c>
    </row>
    <row r="77" spans="1:16" ht="15.95" customHeight="1" x14ac:dyDescent="0.25">
      <c r="A77" s="6" t="s">
        <v>69</v>
      </c>
      <c r="B77" s="14">
        <f>SUM(B78:B79)</f>
        <v>0</v>
      </c>
      <c r="C77" s="16">
        <f t="shared" ref="C77:O77" si="41">SUM(C78:C79)</f>
        <v>0</v>
      </c>
      <c r="D77" s="14">
        <f t="shared" si="41"/>
        <v>0</v>
      </c>
      <c r="E77" s="11">
        <f t="shared" si="41"/>
        <v>0</v>
      </c>
      <c r="F77" s="11">
        <f t="shared" si="41"/>
        <v>0</v>
      </c>
      <c r="G77" s="11">
        <f t="shared" si="41"/>
        <v>0</v>
      </c>
      <c r="H77" s="14">
        <f t="shared" si="41"/>
        <v>0</v>
      </c>
      <c r="I77" s="11">
        <f t="shared" si="41"/>
        <v>0</v>
      </c>
      <c r="J77" s="11">
        <f t="shared" si="41"/>
        <v>0</v>
      </c>
      <c r="K77" s="11">
        <f t="shared" si="41"/>
        <v>0</v>
      </c>
      <c r="L77" s="11">
        <f t="shared" si="41"/>
        <v>0</v>
      </c>
      <c r="M77" s="11">
        <f t="shared" si="41"/>
        <v>0</v>
      </c>
      <c r="N77" s="11">
        <f t="shared" si="41"/>
        <v>0</v>
      </c>
      <c r="O77" s="11">
        <f t="shared" si="41"/>
        <v>0</v>
      </c>
      <c r="P77" s="12">
        <f>SUM(D77:O77)</f>
        <v>0</v>
      </c>
    </row>
    <row r="78" spans="1:16" ht="27.95" customHeight="1" x14ac:dyDescent="0.25">
      <c r="A78" s="7" t="s">
        <v>70</v>
      </c>
      <c r="B78" s="14">
        <v>0</v>
      </c>
      <c r="C78" s="16">
        <v>0</v>
      </c>
      <c r="D78" s="17">
        <v>0</v>
      </c>
      <c r="E78" s="11">
        <v>0</v>
      </c>
      <c r="F78" s="11">
        <v>0</v>
      </c>
      <c r="G78" s="11">
        <v>0</v>
      </c>
      <c r="H78" s="17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26.1" customHeight="1" x14ac:dyDescent="0.25">
      <c r="A79" s="7" t="s">
        <v>71</v>
      </c>
      <c r="B79" s="17"/>
      <c r="C79" s="16"/>
      <c r="D79" s="17"/>
      <c r="H79" s="17"/>
      <c r="P79" s="11">
        <f t="shared" ref="P79:P82" si="42">SUM(D79:O79)</f>
        <v>0</v>
      </c>
    </row>
    <row r="80" spans="1:16" ht="15.95" customHeight="1" x14ac:dyDescent="0.25">
      <c r="A80" s="6" t="s">
        <v>72</v>
      </c>
      <c r="B80" s="14">
        <f>SUM(B81:B82)</f>
        <v>0</v>
      </c>
      <c r="C80" s="16">
        <f t="shared" ref="C80:O80" si="43">SUM(C81:C82)</f>
        <v>0</v>
      </c>
      <c r="D80" s="14">
        <f t="shared" si="43"/>
        <v>0</v>
      </c>
      <c r="E80" s="11">
        <f t="shared" si="43"/>
        <v>0</v>
      </c>
      <c r="F80" s="11">
        <f t="shared" si="43"/>
        <v>0</v>
      </c>
      <c r="G80" s="11">
        <f t="shared" si="43"/>
        <v>0</v>
      </c>
      <c r="H80" s="14">
        <f t="shared" si="43"/>
        <v>0</v>
      </c>
      <c r="I80" s="11">
        <f t="shared" si="43"/>
        <v>0</v>
      </c>
      <c r="J80" s="11">
        <f t="shared" si="43"/>
        <v>0</v>
      </c>
      <c r="K80" s="11">
        <f t="shared" si="43"/>
        <v>0</v>
      </c>
      <c r="L80" s="11">
        <f t="shared" si="43"/>
        <v>0</v>
      </c>
      <c r="M80" s="11">
        <f t="shared" si="43"/>
        <v>0</v>
      </c>
      <c r="N80" s="11">
        <f t="shared" si="43"/>
        <v>0</v>
      </c>
      <c r="O80" s="11">
        <f t="shared" si="43"/>
        <v>0</v>
      </c>
      <c r="P80" s="11">
        <f t="shared" si="42"/>
        <v>0</v>
      </c>
    </row>
    <row r="81" spans="1:16" ht="15" customHeight="1" x14ac:dyDescent="0.25">
      <c r="A81" s="7" t="s">
        <v>73</v>
      </c>
      <c r="B81" s="17"/>
      <c r="C81" s="16"/>
      <c r="D81" s="17"/>
      <c r="H81" s="17"/>
      <c r="P81" s="11">
        <f t="shared" si="42"/>
        <v>0</v>
      </c>
    </row>
    <row r="82" spans="1:16" ht="15" customHeight="1" x14ac:dyDescent="0.25">
      <c r="A82" s="7" t="s">
        <v>74</v>
      </c>
      <c r="B82" s="17"/>
      <c r="C82" s="16"/>
      <c r="D82" s="17"/>
      <c r="H82" s="17"/>
      <c r="P82" s="11">
        <f t="shared" si="42"/>
        <v>0</v>
      </c>
    </row>
    <row r="83" spans="1:16" ht="15.95" customHeight="1" x14ac:dyDescent="0.25">
      <c r="A83" s="6" t="s">
        <v>75</v>
      </c>
      <c r="B83" s="14">
        <f>SUM(B84)</f>
        <v>0</v>
      </c>
      <c r="C83" s="16">
        <f t="shared" ref="C83:O83" si="44">SUM(C84)</f>
        <v>0</v>
      </c>
      <c r="D83" s="14">
        <f t="shared" si="44"/>
        <v>0</v>
      </c>
      <c r="E83" s="11">
        <f t="shared" si="44"/>
        <v>0</v>
      </c>
      <c r="F83" s="11">
        <f t="shared" si="44"/>
        <v>0</v>
      </c>
      <c r="G83" s="11">
        <f t="shared" si="44"/>
        <v>0</v>
      </c>
      <c r="H83" s="14">
        <f t="shared" si="44"/>
        <v>0</v>
      </c>
      <c r="I83" s="11">
        <f t="shared" si="44"/>
        <v>0</v>
      </c>
      <c r="J83" s="11">
        <f t="shared" si="44"/>
        <v>0</v>
      </c>
      <c r="K83" s="11">
        <f t="shared" si="44"/>
        <v>0</v>
      </c>
      <c r="L83" s="11">
        <f t="shared" si="44"/>
        <v>0</v>
      </c>
      <c r="M83" s="11">
        <f t="shared" si="44"/>
        <v>0</v>
      </c>
      <c r="N83" s="11">
        <f t="shared" si="44"/>
        <v>0</v>
      </c>
      <c r="O83" s="11">
        <f t="shared" si="44"/>
        <v>0</v>
      </c>
      <c r="P83" s="12">
        <f>SUM(D83:O83)</f>
        <v>0</v>
      </c>
    </row>
    <row r="84" spans="1:16" ht="15" customHeight="1" x14ac:dyDescent="0.25">
      <c r="A84" s="7" t="s">
        <v>76</v>
      </c>
      <c r="B84" s="17"/>
      <c r="C84" s="16"/>
      <c r="D84" s="17"/>
      <c r="H84" s="17"/>
      <c r="P84" s="11">
        <f>SUM(D84:O84)</f>
        <v>0</v>
      </c>
    </row>
    <row r="85" spans="1:16" ht="15.95" customHeight="1" x14ac:dyDescent="0.25">
      <c r="A85" s="8" t="s">
        <v>77</v>
      </c>
      <c r="B85" s="18">
        <f>SUM(B77,B80,B83)</f>
        <v>0</v>
      </c>
      <c r="C85" s="18">
        <f t="shared" ref="C85:O85" si="45">SUM(C77,C80,C83)</f>
        <v>0</v>
      </c>
      <c r="D85" s="18">
        <f t="shared" si="45"/>
        <v>0</v>
      </c>
      <c r="E85" s="19">
        <f t="shared" si="45"/>
        <v>0</v>
      </c>
      <c r="F85" s="19">
        <f t="shared" si="45"/>
        <v>0</v>
      </c>
      <c r="G85" s="19">
        <f t="shared" si="45"/>
        <v>0</v>
      </c>
      <c r="H85" s="18">
        <f t="shared" si="45"/>
        <v>0</v>
      </c>
      <c r="I85" s="19">
        <f t="shared" si="45"/>
        <v>0</v>
      </c>
      <c r="J85" s="19">
        <f t="shared" si="45"/>
        <v>0</v>
      </c>
      <c r="K85" s="19">
        <f t="shared" si="45"/>
        <v>0</v>
      </c>
      <c r="L85" s="19">
        <f t="shared" si="45"/>
        <v>0</v>
      </c>
      <c r="M85" s="19">
        <f t="shared" si="45"/>
        <v>0</v>
      </c>
      <c r="N85" s="19">
        <f t="shared" si="45"/>
        <v>0</v>
      </c>
      <c r="O85" s="19">
        <f t="shared" si="45"/>
        <v>0</v>
      </c>
      <c r="P85" s="19">
        <f>SUM(D85:O85)</f>
        <v>0</v>
      </c>
    </row>
    <row r="86" spans="1:16" ht="9.9499999999999993" customHeight="1" x14ac:dyDescent="0.25">
      <c r="A86" s="10"/>
      <c r="B86" s="16"/>
      <c r="C86" s="16"/>
      <c r="D86" s="16"/>
      <c r="H86" s="16"/>
    </row>
    <row r="87" spans="1:16" ht="20.100000000000001" customHeight="1" thickBot="1" x14ac:dyDescent="0.3">
      <c r="A87" s="32" t="s">
        <v>78</v>
      </c>
      <c r="B87" s="33">
        <f>SUM(B85)+B74</f>
        <v>354000000</v>
      </c>
      <c r="C87" s="33">
        <f t="shared" ref="C87:D87" si="46">SUM(C85)+C74</f>
        <v>471119128.90999997</v>
      </c>
      <c r="D87" s="33">
        <f t="shared" si="46"/>
        <v>11851531.859999999</v>
      </c>
      <c r="E87" s="33">
        <f t="shared" ref="E87:O87" si="47">SUM(E85)+E74</f>
        <v>14871649.939999999</v>
      </c>
      <c r="F87" s="33">
        <f t="shared" si="47"/>
        <v>21584749.810000002</v>
      </c>
      <c r="G87" s="33">
        <f t="shared" si="47"/>
        <v>17856496.849999994</v>
      </c>
      <c r="H87" s="33">
        <f t="shared" si="47"/>
        <v>29572680.489999998</v>
      </c>
      <c r="I87" s="33">
        <f t="shared" si="47"/>
        <v>21326420.640000001</v>
      </c>
      <c r="J87" s="33">
        <f t="shared" si="47"/>
        <v>22265664.859999992</v>
      </c>
      <c r="K87" s="33">
        <f t="shared" si="47"/>
        <v>0</v>
      </c>
      <c r="L87" s="33">
        <f t="shared" si="47"/>
        <v>0</v>
      </c>
      <c r="M87" s="33">
        <f t="shared" si="47"/>
        <v>0</v>
      </c>
      <c r="N87" s="33">
        <f t="shared" si="47"/>
        <v>0</v>
      </c>
      <c r="O87" s="33">
        <f t="shared" si="47"/>
        <v>0</v>
      </c>
      <c r="P87" s="33">
        <f>SUM(D87:O87)</f>
        <v>139329194.44999999</v>
      </c>
    </row>
    <row r="88" spans="1:16" x14ac:dyDescent="0.25">
      <c r="A88" s="43" t="s">
        <v>103</v>
      </c>
    </row>
    <row r="90" spans="1:16" x14ac:dyDescent="0.25">
      <c r="B90" s="21" t="s">
        <v>106</v>
      </c>
      <c r="F90" s="31" t="s">
        <v>105</v>
      </c>
      <c r="J90" s="11" t="s">
        <v>107</v>
      </c>
    </row>
    <row r="91" spans="1:16" x14ac:dyDescent="0.25">
      <c r="B91" s="21" t="s">
        <v>104</v>
      </c>
      <c r="F91" s="31" t="s">
        <v>109</v>
      </c>
      <c r="J91" s="11" t="s">
        <v>108</v>
      </c>
    </row>
  </sheetData>
  <mergeCells count="9">
    <mergeCell ref="A7:A8"/>
    <mergeCell ref="B7:B8"/>
    <mergeCell ref="C7:C8"/>
    <mergeCell ref="D7:P7"/>
    <mergeCell ref="A1:O1"/>
    <mergeCell ref="A2:O2"/>
    <mergeCell ref="A3:O3"/>
    <mergeCell ref="A4:O4"/>
    <mergeCell ref="A5:O5"/>
  </mergeCells>
  <printOptions horizontalCentered="1"/>
  <pageMargins left="0.11811023622047245" right="0.11811023622047245" top="0.35433070866141736" bottom="0.35433070866141736" header="0" footer="0"/>
  <pageSetup scale="66" fitToHeight="0" orientation="landscape" r:id="rId1"/>
  <ignoredErrors>
    <ignoredError sqref="P41:P61 P37:P39 P16:P35 P62:P86 P14 P12:P13 P11 P15" formulaRange="1"/>
    <ignoredError sqref="M26:N26 N62 N36 N52 N16 N67:N72 E22 F29:J29 F31:I31 F33:I33 F36:G36 G16 N38:N44 H56:I56 J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julio 2025</vt:lpstr>
      <vt:lpstr>'Ejecución julio 2025'!Área_de_impresión</vt:lpstr>
      <vt:lpstr>'Ejecución julio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Laura De Luna</cp:lastModifiedBy>
  <cp:lastPrinted>2025-08-14T12:46:18Z</cp:lastPrinted>
  <dcterms:created xsi:type="dcterms:W3CDTF">2018-04-17T18:57:16Z</dcterms:created>
  <dcterms:modified xsi:type="dcterms:W3CDTF">2025-08-14T18:33:24Z</dcterms:modified>
</cp:coreProperties>
</file>