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gapprd-my.sharepoint.com/personal/jgonzalez_dgapp_gob_do/Documents/DGAPP FINANZAS 2022/CONTABILIDAD COMPARTIDA/TRANSPARENCIA/EJECUCION PRESUPUESTARIA/"/>
    </mc:Choice>
  </mc:AlternateContent>
  <xr:revisionPtr revIDLastSave="0" documentId="8_{3D0A32EF-6BBB-4EB2-9A66-8BBDD18148DF}" xr6:coauthVersionLast="47" xr6:coauthVersionMax="47" xr10:uidLastSave="{00000000-0000-0000-0000-000000000000}"/>
  <bookViews>
    <workbookView xWindow="-120" yWindow="-120" windowWidth="29040" windowHeight="16440" tabRatio="713" xr2:uid="{00000000-000D-0000-FFFF-FFFF00000000}"/>
  </bookViews>
  <sheets>
    <sheet name="Ejecución octubre 2025" sheetId="4" r:id="rId1"/>
  </sheets>
  <definedNames>
    <definedName name="_xlnm.Print_Area" localSheetId="0">'Ejecución octubre 2025'!$A$1:$P$95</definedName>
    <definedName name="_xlnm.Print_Titles" localSheetId="0">'Ejecución octubre 2025'!$6:$7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3" i="4" l="1"/>
  <c r="M81" i="4"/>
  <c r="M80" i="4"/>
  <c r="M78" i="4"/>
  <c r="M77" i="4"/>
  <c r="M74" i="4"/>
  <c r="M72" i="4"/>
  <c r="M71" i="4"/>
  <c r="M70" i="4"/>
  <c r="M68" i="4"/>
  <c r="M67" i="4"/>
  <c r="M65" i="4"/>
  <c r="M64" i="4"/>
  <c r="M63" i="4"/>
  <c r="M62" i="4"/>
  <c r="M50" i="4"/>
  <c r="M49" i="4"/>
  <c r="M48" i="4"/>
  <c r="M46" i="4"/>
  <c r="M45" i="4"/>
  <c r="M44" i="4"/>
  <c r="M42" i="4"/>
  <c r="M41" i="4"/>
  <c r="M40" i="4"/>
  <c r="M39" i="4"/>
  <c r="M38" i="4"/>
  <c r="M37" i="4"/>
  <c r="E10" i="4" l="1"/>
  <c r="E11" i="4"/>
  <c r="E12" i="4"/>
  <c r="E13" i="4"/>
  <c r="E14" i="4"/>
  <c r="E16" i="4"/>
  <c r="E17" i="4"/>
  <c r="F17" i="4"/>
  <c r="G17" i="4" s="1"/>
  <c r="E18" i="4"/>
  <c r="F18" i="4" s="1"/>
  <c r="G18" i="4" s="1"/>
  <c r="E19" i="4"/>
  <c r="E20" i="4"/>
  <c r="F20" i="4"/>
  <c r="E21" i="4"/>
  <c r="F21" i="4"/>
  <c r="E22" i="4"/>
  <c r="E23" i="4"/>
  <c r="E24" i="4"/>
  <c r="F16" i="4" l="1"/>
  <c r="F11" i="4"/>
  <c r="G11" i="4" s="1"/>
  <c r="F14" i="4"/>
  <c r="G14" i="4" s="1"/>
  <c r="H14" i="4" s="1"/>
  <c r="F19" i="4"/>
  <c r="F24" i="4"/>
  <c r="G24" i="4" s="1"/>
  <c r="F12" i="4"/>
  <c r="F22" i="4"/>
  <c r="H22" i="4" s="1"/>
  <c r="F10" i="4"/>
  <c r="I10" i="4" s="1"/>
  <c r="J10" i="4" s="1"/>
  <c r="H18" i="4"/>
  <c r="G22" i="4"/>
  <c r="G21" i="4"/>
  <c r="H21" i="4" s="1"/>
  <c r="G16" i="4"/>
  <c r="G19" i="4"/>
  <c r="F23" i="4"/>
  <c r="G23" i="4" s="1"/>
  <c r="F13" i="4"/>
  <c r="H17" i="4"/>
  <c r="G20" i="4"/>
  <c r="G10" i="4"/>
  <c r="H10" i="4" s="1"/>
  <c r="G13" i="4"/>
  <c r="H13" i="4" s="1"/>
  <c r="I17" i="4"/>
  <c r="J17" i="4" s="1"/>
  <c r="I47" i="4"/>
  <c r="M47" i="4" s="1"/>
  <c r="I22" i="4" l="1"/>
  <c r="J22" i="4"/>
  <c r="K22" i="4" s="1"/>
  <c r="I18" i="4"/>
  <c r="H24" i="4"/>
  <c r="M14" i="4"/>
  <c r="G12" i="4"/>
  <c r="H12" i="4" s="1"/>
  <c r="I12" i="4" s="1"/>
  <c r="H11" i="4"/>
  <c r="I14" i="4"/>
  <c r="J14" i="4" s="1"/>
  <c r="H16" i="4"/>
  <c r="I16" i="4" s="1"/>
  <c r="J16" i="4" s="1"/>
  <c r="H19" i="4"/>
  <c r="I21" i="4"/>
  <c r="J21" i="4" s="1"/>
  <c r="H23" i="4"/>
  <c r="I23" i="4" s="1"/>
  <c r="J23" i="4" s="1"/>
  <c r="K23" i="4" s="1"/>
  <c r="K10" i="4"/>
  <c r="L10" i="4" s="1"/>
  <c r="J18" i="4"/>
  <c r="K18" i="4" s="1"/>
  <c r="L18" i="4" s="1"/>
  <c r="M18" i="4" s="1"/>
  <c r="K17" i="4"/>
  <c r="L17" i="4" s="1"/>
  <c r="K14" i="4"/>
  <c r="L14" i="4" s="1"/>
  <c r="L22" i="4"/>
  <c r="I11" i="4"/>
  <c r="J11" i="4" s="1"/>
  <c r="H20" i="4"/>
  <c r="I20" i="4" s="1"/>
  <c r="I13" i="4"/>
  <c r="J13" i="4" s="1"/>
  <c r="F36" i="4"/>
  <c r="F53" i="4"/>
  <c r="F52" i="4"/>
  <c r="F30" i="4"/>
  <c r="F28" i="4"/>
  <c r="F60" i="4"/>
  <c r="F59" i="4"/>
  <c r="F58" i="4"/>
  <c r="F57" i="4"/>
  <c r="F56" i="4"/>
  <c r="F55" i="4"/>
  <c r="F54" i="4"/>
  <c r="F34" i="4"/>
  <c r="F33" i="4"/>
  <c r="F31" i="4"/>
  <c r="F29" i="4"/>
  <c r="F27" i="4"/>
  <c r="C25" i="4"/>
  <c r="E32" i="4"/>
  <c r="E26" i="4"/>
  <c r="I24" i="4" l="1"/>
  <c r="J12" i="4"/>
  <c r="K12" i="4" s="1"/>
  <c r="M22" i="4"/>
  <c r="F32" i="4"/>
  <c r="G32" i="4" s="1"/>
  <c r="J24" i="4"/>
  <c r="K24" i="4" s="1"/>
  <c r="M10" i="4"/>
  <c r="M17" i="4"/>
  <c r="I19" i="4"/>
  <c r="J19" i="4" s="1"/>
  <c r="K19" i="4" s="1"/>
  <c r="K21" i="4"/>
  <c r="L21" i="4" s="1"/>
  <c r="K11" i="4"/>
  <c r="L11" i="4" s="1"/>
  <c r="L12" i="4"/>
  <c r="K16" i="4"/>
  <c r="L16" i="4" s="1"/>
  <c r="G58" i="4"/>
  <c r="H58" i="4" s="1"/>
  <c r="G34" i="4"/>
  <c r="G59" i="4"/>
  <c r="G60" i="4"/>
  <c r="F26" i="4"/>
  <c r="G52" i="4"/>
  <c r="G57" i="4"/>
  <c r="J20" i="4"/>
  <c r="G27" i="4"/>
  <c r="L24" i="4"/>
  <c r="G29" i="4"/>
  <c r="H29" i="4" s="1"/>
  <c r="G28" i="4"/>
  <c r="L23" i="4"/>
  <c r="M23" i="4" s="1"/>
  <c r="G31" i="4"/>
  <c r="G30" i="4"/>
  <c r="K13" i="4"/>
  <c r="L13" i="4" s="1"/>
  <c r="G33" i="4"/>
  <c r="G54" i="4"/>
  <c r="H54" i="4" s="1"/>
  <c r="G55" i="4"/>
  <c r="H55" i="4"/>
  <c r="I55" i="4" s="1"/>
  <c r="G36" i="4"/>
  <c r="H36" i="4" s="1"/>
  <c r="G53" i="4"/>
  <c r="H53" i="4" s="1"/>
  <c r="G56" i="4"/>
  <c r="H56" i="4" s="1"/>
  <c r="I56" i="4" s="1"/>
  <c r="N44" i="4"/>
  <c r="N45" i="4"/>
  <c r="N46" i="4"/>
  <c r="N47" i="4"/>
  <c r="N48" i="4"/>
  <c r="N49" i="4"/>
  <c r="N50" i="4"/>
  <c r="N71" i="4"/>
  <c r="N72" i="4"/>
  <c r="N70" i="4"/>
  <c r="N68" i="4"/>
  <c r="N67" i="4"/>
  <c r="N37" i="4"/>
  <c r="O37" i="4" s="1"/>
  <c r="N38" i="4"/>
  <c r="N39" i="4"/>
  <c r="N40" i="4"/>
  <c r="N41" i="4"/>
  <c r="N42" i="4"/>
  <c r="H32" i="4" l="1"/>
  <c r="M11" i="4"/>
  <c r="M13" i="4"/>
  <c r="M24" i="4"/>
  <c r="H33" i="4"/>
  <c r="I33" i="4" s="1"/>
  <c r="H60" i="4"/>
  <c r="I60" i="4" s="1"/>
  <c r="M21" i="4"/>
  <c r="M12" i="4"/>
  <c r="P12" i="4" s="1"/>
  <c r="H57" i="4"/>
  <c r="I57" i="4" s="1"/>
  <c r="M16" i="4"/>
  <c r="L19" i="4"/>
  <c r="M19" i="4" s="1"/>
  <c r="H34" i="4"/>
  <c r="J55" i="4"/>
  <c r="J33" i="4"/>
  <c r="I36" i="4"/>
  <c r="I54" i="4"/>
  <c r="J54" i="4" s="1"/>
  <c r="K54" i="4" s="1"/>
  <c r="H30" i="4"/>
  <c r="H28" i="4"/>
  <c r="I58" i="4"/>
  <c r="J58" i="4" s="1"/>
  <c r="J56" i="4"/>
  <c r="H27" i="4"/>
  <c r="K20" i="4"/>
  <c r="L20" i="4" s="1"/>
  <c r="I53" i="4"/>
  <c r="J53" i="4" s="1"/>
  <c r="H52" i="4"/>
  <c r="G26" i="4"/>
  <c r="H31" i="4"/>
  <c r="H59" i="4"/>
  <c r="I29" i="4"/>
  <c r="I32" i="4"/>
  <c r="N51" i="4"/>
  <c r="J60" i="4" l="1"/>
  <c r="K60" i="4" s="1"/>
  <c r="L60" i="4" s="1"/>
  <c r="I27" i="4"/>
  <c r="M57" i="4"/>
  <c r="J57" i="4"/>
  <c r="K57" i="4" s="1"/>
  <c r="L57" i="4" s="1"/>
  <c r="M20" i="4"/>
  <c r="I52" i="4"/>
  <c r="J52" i="4" s="1"/>
  <c r="I28" i="4"/>
  <c r="M54" i="4"/>
  <c r="I30" i="4"/>
  <c r="J30" i="4" s="1"/>
  <c r="L54" i="4"/>
  <c r="I34" i="4"/>
  <c r="J36" i="4"/>
  <c r="K36" i="4" s="1"/>
  <c r="L36" i="4" s="1"/>
  <c r="K53" i="4"/>
  <c r="L53" i="4" s="1"/>
  <c r="K58" i="4"/>
  <c r="L58" i="4" s="1"/>
  <c r="L55" i="4"/>
  <c r="K56" i="4"/>
  <c r="J28" i="4"/>
  <c r="K28" i="4" s="1"/>
  <c r="J32" i="4"/>
  <c r="K32" i="4" s="1"/>
  <c r="L32" i="4" s="1"/>
  <c r="K55" i="4"/>
  <c r="M55" i="4" s="1"/>
  <c r="I59" i="4"/>
  <c r="J59" i="4" s="1"/>
  <c r="K33" i="4"/>
  <c r="L33" i="4" s="1"/>
  <c r="H26" i="4"/>
  <c r="J27" i="4"/>
  <c r="I31" i="4"/>
  <c r="J31" i="4" s="1"/>
  <c r="J29" i="4"/>
  <c r="K29" i="4" s="1"/>
  <c r="L29" i="4" s="1"/>
  <c r="H61" i="4"/>
  <c r="G61" i="4"/>
  <c r="M61" i="4"/>
  <c r="F61" i="4"/>
  <c r="K30" i="4" l="1"/>
  <c r="L30" i="4" s="1"/>
  <c r="M30" i="4"/>
  <c r="L56" i="4"/>
  <c r="M56" i="4"/>
  <c r="M58" i="4"/>
  <c r="M60" i="4"/>
  <c r="M32" i="4"/>
  <c r="M53" i="4"/>
  <c r="M29" i="4"/>
  <c r="M33" i="4"/>
  <c r="L52" i="4"/>
  <c r="M36" i="4"/>
  <c r="K52" i="4"/>
  <c r="M52" i="4" s="1"/>
  <c r="K59" i="4"/>
  <c r="L59" i="4" s="1"/>
  <c r="J34" i="4"/>
  <c r="K34" i="4" s="1"/>
  <c r="L34" i="4" s="1"/>
  <c r="K31" i="4"/>
  <c r="L31" i="4" s="1"/>
  <c r="L28" i="4"/>
  <c r="M28" i="4" s="1"/>
  <c r="K27" i="4"/>
  <c r="L27" i="4" s="1"/>
  <c r="I26" i="4"/>
  <c r="I25" i="4" s="1"/>
  <c r="I61" i="4"/>
  <c r="L15" i="4"/>
  <c r="E69" i="4"/>
  <c r="E66" i="4"/>
  <c r="E61" i="4"/>
  <c r="E51" i="4"/>
  <c r="E43" i="4"/>
  <c r="E35" i="4"/>
  <c r="E25" i="4"/>
  <c r="P60" i="4"/>
  <c r="P39" i="4"/>
  <c r="L35" i="4"/>
  <c r="D35" i="4"/>
  <c r="C35" i="4"/>
  <c r="B35" i="4"/>
  <c r="E9" i="4"/>
  <c r="E82" i="4"/>
  <c r="E79" i="4"/>
  <c r="E76" i="4"/>
  <c r="O82" i="4"/>
  <c r="N82" i="4"/>
  <c r="L82" i="4"/>
  <c r="K82" i="4"/>
  <c r="J82" i="4"/>
  <c r="I82" i="4"/>
  <c r="H82" i="4"/>
  <c r="G82" i="4"/>
  <c r="F82" i="4"/>
  <c r="D82" i="4"/>
  <c r="C82" i="4"/>
  <c r="O79" i="4"/>
  <c r="N79" i="4"/>
  <c r="L79" i="4"/>
  <c r="K79" i="4"/>
  <c r="J79" i="4"/>
  <c r="I79" i="4"/>
  <c r="H79" i="4"/>
  <c r="G79" i="4"/>
  <c r="F79" i="4"/>
  <c r="D79" i="4"/>
  <c r="C79" i="4"/>
  <c r="B82" i="4"/>
  <c r="B79" i="4"/>
  <c r="O76" i="4"/>
  <c r="N76" i="4"/>
  <c r="L76" i="4"/>
  <c r="K76" i="4"/>
  <c r="J76" i="4"/>
  <c r="I76" i="4"/>
  <c r="H76" i="4"/>
  <c r="G76" i="4"/>
  <c r="F76" i="4"/>
  <c r="D76" i="4"/>
  <c r="C76" i="4"/>
  <c r="B76" i="4"/>
  <c r="O9" i="4"/>
  <c r="N9" i="4"/>
  <c r="M9" i="4"/>
  <c r="L9" i="4"/>
  <c r="I9" i="4"/>
  <c r="H9" i="4"/>
  <c r="O15" i="4"/>
  <c r="N15" i="4"/>
  <c r="M15" i="4"/>
  <c r="K15" i="4"/>
  <c r="J15" i="4"/>
  <c r="I15" i="4"/>
  <c r="H15" i="4"/>
  <c r="O25" i="4"/>
  <c r="N25" i="4"/>
  <c r="H25" i="4"/>
  <c r="F35" i="4"/>
  <c r="O51" i="4"/>
  <c r="J51" i="4"/>
  <c r="I51" i="4"/>
  <c r="H51" i="4"/>
  <c r="O69" i="4"/>
  <c r="N69" i="4"/>
  <c r="L69" i="4"/>
  <c r="K69" i="4"/>
  <c r="J69" i="4"/>
  <c r="I69" i="4"/>
  <c r="H69" i="4"/>
  <c r="G69" i="4"/>
  <c r="F69" i="4"/>
  <c r="D69" i="4"/>
  <c r="C69" i="4"/>
  <c r="B69" i="4"/>
  <c r="O66" i="4"/>
  <c r="N66" i="4"/>
  <c r="M66" i="4"/>
  <c r="L66" i="4"/>
  <c r="K66" i="4"/>
  <c r="J66" i="4"/>
  <c r="I66" i="4"/>
  <c r="H66" i="4"/>
  <c r="G66" i="4"/>
  <c r="F66" i="4"/>
  <c r="D66" i="4"/>
  <c r="C66" i="4"/>
  <c r="B66" i="4"/>
  <c r="D61" i="4"/>
  <c r="C61" i="4"/>
  <c r="B61" i="4"/>
  <c r="O43" i="4"/>
  <c r="N43" i="4"/>
  <c r="M43" i="4"/>
  <c r="L43" i="4"/>
  <c r="K43" i="4"/>
  <c r="J43" i="4"/>
  <c r="I43" i="4"/>
  <c r="H43" i="4"/>
  <c r="G43" i="4"/>
  <c r="F43" i="4"/>
  <c r="D43" i="4"/>
  <c r="C43" i="4"/>
  <c r="B43" i="4"/>
  <c r="K51" i="4" l="1"/>
  <c r="M31" i="4"/>
  <c r="M82" i="4"/>
  <c r="L51" i="4"/>
  <c r="M69" i="4"/>
  <c r="M76" i="4"/>
  <c r="M84" i="4" s="1"/>
  <c r="M79" i="4"/>
  <c r="M59" i="4"/>
  <c r="M51" i="4" s="1"/>
  <c r="M27" i="4"/>
  <c r="M34" i="4"/>
  <c r="J26" i="4"/>
  <c r="G35" i="4"/>
  <c r="H35" i="4"/>
  <c r="H73" i="4" s="1"/>
  <c r="K9" i="4"/>
  <c r="J9" i="4"/>
  <c r="P14" i="4"/>
  <c r="G51" i="4"/>
  <c r="G25" i="4"/>
  <c r="G15" i="4"/>
  <c r="G9" i="4"/>
  <c r="E15" i="4"/>
  <c r="I75" i="4"/>
  <c r="F51" i="4"/>
  <c r="F25" i="4"/>
  <c r="F15" i="4"/>
  <c r="C84" i="4"/>
  <c r="O75" i="4"/>
  <c r="G84" i="4"/>
  <c r="O84" i="4"/>
  <c r="C75" i="4"/>
  <c r="J75" i="4"/>
  <c r="G75" i="4"/>
  <c r="K84" i="4"/>
  <c r="I84" i="4"/>
  <c r="K75" i="4"/>
  <c r="E84" i="4"/>
  <c r="E75" i="4"/>
  <c r="F75" i="4"/>
  <c r="J84" i="4"/>
  <c r="N84" i="4"/>
  <c r="D84" i="4"/>
  <c r="H84" i="4"/>
  <c r="L84" i="4"/>
  <c r="N75" i="4"/>
  <c r="D75" i="4"/>
  <c r="H75" i="4"/>
  <c r="L75" i="4"/>
  <c r="F84" i="4"/>
  <c r="M75" i="4" l="1"/>
  <c r="J25" i="4"/>
  <c r="K26" i="4"/>
  <c r="K25" i="4" s="1"/>
  <c r="I35" i="4"/>
  <c r="J61" i="4"/>
  <c r="K61" i="4"/>
  <c r="P10" i="4"/>
  <c r="G73" i="4"/>
  <c r="G86" i="4" s="1"/>
  <c r="F9" i="4"/>
  <c r="F73" i="4" s="1"/>
  <c r="F86" i="4" s="1"/>
  <c r="H8" i="4"/>
  <c r="H86" i="4"/>
  <c r="E73" i="4"/>
  <c r="P84" i="4"/>
  <c r="P83" i="4"/>
  <c r="P82" i="4"/>
  <c r="P81" i="4"/>
  <c r="P80" i="4"/>
  <c r="P79" i="4"/>
  <c r="P78" i="4"/>
  <c r="P77" i="4"/>
  <c r="P76" i="4"/>
  <c r="P75" i="4"/>
  <c r="P72" i="4"/>
  <c r="P71" i="4"/>
  <c r="P70" i="4"/>
  <c r="P69" i="4"/>
  <c r="P68" i="4"/>
  <c r="P67" i="4"/>
  <c r="P66" i="4"/>
  <c r="P65" i="4"/>
  <c r="P64" i="4"/>
  <c r="P63" i="4"/>
  <c r="P59" i="4"/>
  <c r="P58" i="4"/>
  <c r="P57" i="4"/>
  <c r="P56" i="4"/>
  <c r="P55" i="4"/>
  <c r="P54" i="4"/>
  <c r="P53" i="4"/>
  <c r="P52" i="4"/>
  <c r="P50" i="4"/>
  <c r="P49" i="4"/>
  <c r="P48" i="4"/>
  <c r="P47" i="4"/>
  <c r="P46" i="4"/>
  <c r="P45" i="4"/>
  <c r="P44" i="4"/>
  <c r="P43" i="4"/>
  <c r="P42" i="4"/>
  <c r="P41" i="4"/>
  <c r="P40" i="4"/>
  <c r="P38" i="4"/>
  <c r="P37" i="4"/>
  <c r="P34" i="4"/>
  <c r="P33" i="4"/>
  <c r="P32" i="4"/>
  <c r="P31" i="4"/>
  <c r="P30" i="4"/>
  <c r="P29" i="4"/>
  <c r="P28" i="4"/>
  <c r="P27" i="4"/>
  <c r="P24" i="4"/>
  <c r="P23" i="4"/>
  <c r="P22" i="4"/>
  <c r="P21" i="4"/>
  <c r="P20" i="4"/>
  <c r="P19" i="4"/>
  <c r="P18" i="4"/>
  <c r="P17" i="4"/>
  <c r="P16" i="4"/>
  <c r="P13" i="4"/>
  <c r="P11" i="4"/>
  <c r="D51" i="4"/>
  <c r="P51" i="4" s="1"/>
  <c r="D25" i="4"/>
  <c r="D15" i="4"/>
  <c r="P15" i="4" s="1"/>
  <c r="D9" i="4"/>
  <c r="C51" i="4"/>
  <c r="C15" i="4"/>
  <c r="C9" i="4"/>
  <c r="B51" i="4"/>
  <c r="B25" i="4"/>
  <c r="B15" i="4"/>
  <c r="L26" i="4" l="1"/>
  <c r="M26" i="4" s="1"/>
  <c r="M25" i="4" s="1"/>
  <c r="I73" i="4"/>
  <c r="L61" i="4"/>
  <c r="N61" i="4"/>
  <c r="P9" i="4"/>
  <c r="G8" i="4"/>
  <c r="F8" i="4"/>
  <c r="E86" i="4"/>
  <c r="E8" i="4"/>
  <c r="C73" i="4"/>
  <c r="C86" i="4" s="1"/>
  <c r="D73" i="4"/>
  <c r="B9" i="4"/>
  <c r="B73" i="4" s="1"/>
  <c r="B8" i="4" s="1"/>
  <c r="L25" i="4" l="1"/>
  <c r="P25" i="4" s="1"/>
  <c r="P26" i="4"/>
  <c r="I86" i="4"/>
  <c r="I8" i="4"/>
  <c r="K35" i="4"/>
  <c r="K73" i="4" s="1"/>
  <c r="J35" i="4"/>
  <c r="O61" i="4"/>
  <c r="P62" i="4"/>
  <c r="C8" i="4"/>
  <c r="D86" i="4"/>
  <c r="D8" i="4"/>
  <c r="B75" i="4"/>
  <c r="B84" i="4"/>
  <c r="B86" i="4" s="1"/>
  <c r="L73" i="4" l="1"/>
  <c r="M35" i="4"/>
  <c r="M73" i="4" s="1"/>
  <c r="M86" i="4" s="1"/>
  <c r="K86" i="4"/>
  <c r="K8" i="4"/>
  <c r="P61" i="4"/>
  <c r="J73" i="4"/>
  <c r="L8" i="4" l="1"/>
  <c r="L86" i="4"/>
  <c r="M8" i="4"/>
  <c r="J86" i="4"/>
  <c r="J8" i="4"/>
  <c r="N35" i="4" l="1"/>
  <c r="N73" i="4" l="1"/>
  <c r="O35" i="4"/>
  <c r="O73" i="4" s="1"/>
  <c r="P36" i="4"/>
  <c r="O86" i="4" l="1"/>
  <c r="O8" i="4"/>
  <c r="N86" i="4"/>
  <c r="P73" i="4"/>
  <c r="N8" i="4"/>
  <c r="P35" i="4"/>
  <c r="P86" i="4" l="1"/>
  <c r="P8" i="4"/>
  <c r="Q8" i="4" s="1"/>
</calcChain>
</file>

<file path=xl/sharedStrings.xml><?xml version="1.0" encoding="utf-8"?>
<sst xmlns="http://schemas.openxmlformats.org/spreadsheetml/2006/main" count="110" uniqueCount="110">
  <si>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</si>
  <si>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</si>
  <si>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</si>
  <si>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</si>
  <si>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</si>
  <si>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</si>
  <si>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</si>
  <si>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</si>
  <si>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</si>
  <si>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</si>
  <si>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</si>
  <si>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</si>
  <si>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</si>
  <si>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</si>
  <si>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</si>
  <si>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</si>
  <si>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</si>
  <si>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</si>
  <si>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</si>
  <si>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</si>
  <si>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</si>
  <si>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</si>
  <si>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</si>
  <si>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</si>
  <si>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</si>
  <si>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</si>
  <si>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</si>
  <si>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</si>
  <si>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</si>
  <si>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</si>
  <si>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</si>
  <si>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</si>
  <si>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</si>
  <si>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</si>
  <si>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</si>
  <si>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</si>
  <si>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</si>
  <si>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</si>
  <si>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</si>
  <si>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</si>
  <si>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</si>
  <si>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</si>
  <si>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</si>
  <si>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</si>
  <si>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</si>
  <si>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</si>
  <si>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</si>
  <si>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</si>
  <si>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</si>
  <si>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</si>
  <si>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</si>
  <si>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</si>
  <si>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</si>
  <si>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</si>
  <si>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</si>
  <si>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</si>
  <si>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</si>
  <si>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</si>
  <si>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</si>
  <si>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</si>
  <si>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</si>
  <si>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</si>
  <si>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</si>
  <si>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</si>
  <si>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</si>
  <si>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</si>
  <si>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</si>
  <si>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</si>
  <si>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</si>
  <si>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</si>
  <si>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</si>
  <si>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</si>
  <si>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</si>
  <si>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</si>
  <si>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</si>
  <si>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</si>
  <si>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</si>
  <si>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</si>
  <si>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</si>
  <si>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</si>
  <si>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</si>
  <si>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</si>
  <si>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</si>
  <si>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</si>
  <si>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</si>
  <si>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</si>
  <si>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</si>
  <si>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</si>
  <si>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</si>
  <si>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</si>
  <si>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</si>
  <si>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</si>
  <si>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</si>
  <si>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</si>
  <si>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</si>
  <si>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</si>
  <si>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</si>
  <si>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Total </t>
  </si>
  <si>
    <t>DIRECCION GENERAL DE ALIANZAS PUBLICO PRIVADAS</t>
  </si>
  <si>
    <t>Presupuesto Aprobado</t>
  </si>
  <si>
    <t>Presupuesto Modificado</t>
  </si>
  <si>
    <t>Gasto Devengado</t>
  </si>
  <si>
    <t>Fuente: [SIGEF]</t>
  </si>
  <si>
    <t>Analista Financiera</t>
  </si>
  <si>
    <t>Revisado: Juan Gonzalez</t>
  </si>
  <si>
    <t>Preparado: Yohan Alcantara</t>
  </si>
  <si>
    <t>%  Consumido</t>
  </si>
  <si>
    <t>Directora Financiera</t>
  </si>
  <si>
    <t>Aprobado: María E. Montero</t>
  </si>
  <si>
    <t>Enc.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</si>
</sst>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002060"/>
        <bgColor theme="4" tint="0.79998168889431442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/>
      <top/>
      <bottom style="thin">
        <color theme="4" tint="0.39997558519241921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 style="thin">
        <color theme="4" tint="0.39997558519241921"/>
      </top>
      <bottom/>
      <diagonal/>
    </border>
    <border>
      <left style="medium">
        <color theme="0"/>
      </left>
      <right/>
      <top style="thin">
        <color theme="4" tint="0.39997558519241921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thin">
        <color indexed="64"/>
      </left>
      <right/>
      <top style="medium">
        <color theme="0"/>
      </top>
      <bottom style="thin">
        <color theme="0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left"/>
    </xf>
    <xf numFmtId="43" fontId="0" fillId="0" borderId="0" xfId="1" applyFont="1"/>
    <xf numFmtId="43" fontId="0" fillId="0" borderId="0" xfId="0" applyNumberFormat="1"/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 indent="2"/>
    </xf>
    <xf numFmtId="0" fontId="1" fillId="2" borderId="16" xfId="0" applyFont="1" applyFill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5" xfId="0" applyBorder="1"/>
    <xf numFmtId="43" fontId="0" fillId="0" borderId="0" xfId="0" applyNumberFormat="1" applyAlignment="1">
      <alignment vertical="center"/>
    </xf>
    <xf numFmtId="43" fontId="1" fillId="0" borderId="0" xfId="0" applyNumberFormat="1" applyFont="1" applyAlignment="1">
      <alignment vertical="center"/>
    </xf>
    <xf numFmtId="43" fontId="1" fillId="0" borderId="1" xfId="1" applyFont="1" applyBorder="1" applyAlignment="1">
      <alignment vertical="center" wrapText="1"/>
    </xf>
    <xf numFmtId="43" fontId="1" fillId="0" borderId="0" xfId="1" applyFont="1" applyBorder="1" applyAlignment="1">
      <alignment vertical="center" wrapText="1"/>
    </xf>
    <xf numFmtId="43" fontId="1" fillId="0" borderId="0" xfId="1" applyFont="1" applyBorder="1" applyAlignment="1">
      <alignment vertical="center"/>
    </xf>
    <xf numFmtId="43" fontId="0" fillId="0" borderId="0" xfId="1" applyFont="1" applyBorder="1" applyAlignment="1">
      <alignment vertical="center"/>
    </xf>
    <xf numFmtId="43" fontId="0" fillId="0" borderId="0" xfId="1" applyFont="1" applyBorder="1" applyAlignment="1">
      <alignment vertical="center" wrapText="1"/>
    </xf>
    <xf numFmtId="43" fontId="1" fillId="2" borderId="2" xfId="1" applyFont="1" applyFill="1" applyBorder="1" applyAlignment="1">
      <alignment vertical="center" wrapText="1"/>
    </xf>
    <xf numFmtId="43" fontId="1" fillId="2" borderId="2" xfId="0" applyNumberFormat="1" applyFont="1" applyFill="1" applyBorder="1" applyAlignment="1">
      <alignment vertical="center" wrapText="1"/>
    </xf>
    <xf numFmtId="43" fontId="1" fillId="0" borderId="1" xfId="0" applyNumberFormat="1" applyFont="1" applyBorder="1" applyAlignment="1">
      <alignment vertical="center" wrapText="1"/>
    </xf>
    <xf numFmtId="43" fontId="0" fillId="0" borderId="0" xfId="1" applyFont="1" applyAlignment="1">
      <alignment vertical="center"/>
    </xf>
    <xf numFmtId="43" fontId="5" fillId="4" borderId="7" xfId="1" applyFont="1" applyFill="1" applyBorder="1" applyAlignment="1">
      <alignment horizontal="center" vertical="center" wrapText="1"/>
    </xf>
    <xf numFmtId="43" fontId="5" fillId="4" borderId="8" xfId="0" applyNumberFormat="1" applyFont="1" applyFill="1" applyBorder="1" applyAlignment="1">
      <alignment horizontal="center" vertical="center" wrapText="1"/>
    </xf>
    <xf numFmtId="43" fontId="5" fillId="4" borderId="7" xfId="0" applyNumberFormat="1" applyFont="1" applyFill="1" applyBorder="1" applyAlignment="1">
      <alignment horizontal="center" vertical="center" wrapText="1"/>
    </xf>
    <xf numFmtId="43" fontId="5" fillId="4" borderId="3" xfId="0" applyNumberFormat="1" applyFont="1" applyFill="1" applyBorder="1" applyAlignment="1">
      <alignment horizontal="center" vertical="center" wrapText="1"/>
    </xf>
    <xf numFmtId="43" fontId="5" fillId="4" borderId="5" xfId="0" applyNumberFormat="1" applyFont="1" applyFill="1" applyBorder="1" applyAlignment="1">
      <alignment horizontal="center" vertical="center" wrapText="1"/>
    </xf>
    <xf numFmtId="43" fontId="5" fillId="4" borderId="6" xfId="0" applyNumberFormat="1" applyFont="1" applyFill="1" applyBorder="1" applyAlignment="1">
      <alignment horizontal="center" vertical="center" wrapText="1"/>
    </xf>
    <xf numFmtId="0" fontId="1" fillId="0" borderId="0" xfId="0" applyFont="1"/>
    <xf numFmtId="9" fontId="1" fillId="0" borderId="0" xfId="2" applyFont="1"/>
    <xf numFmtId="43" fontId="1" fillId="0" borderId="1" xfId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" fillId="3" borderId="17" xfId="0" applyFont="1" applyFill="1" applyBorder="1" applyAlignment="1">
      <alignment horizontal="left" vertical="center" wrapText="1"/>
    </xf>
    <xf numFmtId="43" fontId="1" fillId="3" borderId="18" xfId="1" applyFont="1" applyFill="1" applyBorder="1" applyAlignment="1">
      <alignment vertical="center" wrapText="1"/>
    </xf>
    <xf numFmtId="43" fontId="4" fillId="0" borderId="0" xfId="1" applyFont="1" applyFill="1" applyBorder="1" applyAlignment="1">
      <alignment vertical="center"/>
    </xf>
    <xf numFmtId="43" fontId="7" fillId="0" borderId="0" xfId="0" applyNumberFormat="1" applyFont="1" applyAlignment="1">
      <alignment vertical="center"/>
    </xf>
    <xf numFmtId="43" fontId="0" fillId="0" borderId="0" xfId="1" applyFont="1" applyFill="1" applyBorder="1" applyAlignment="1">
      <alignment vertical="center"/>
    </xf>
    <xf numFmtId="43" fontId="1" fillId="6" borderId="0" xfId="1" applyFont="1" applyFill="1" applyBorder="1" applyAlignment="1">
      <alignment vertical="center" wrapText="1"/>
    </xf>
    <xf numFmtId="43" fontId="1" fillId="6" borderId="0" xfId="0" applyNumberFormat="1" applyFont="1" applyFill="1" applyAlignment="1">
      <alignment vertical="center"/>
    </xf>
    <xf numFmtId="43" fontId="1" fillId="6" borderId="0" xfId="1" applyFont="1" applyFill="1" applyBorder="1" applyAlignment="1">
      <alignment vertical="center"/>
    </xf>
    <xf numFmtId="43" fontId="0" fillId="0" borderId="0" xfId="1" applyFont="1" applyFill="1" applyBorder="1" applyAlignment="1">
      <alignment vertical="center" wrapText="1"/>
    </xf>
    <xf numFmtId="43" fontId="0" fillId="0" borderId="0" xfId="1" applyFont="1" applyFill="1" applyAlignment="1">
      <alignment vertical="center"/>
    </xf>
    <xf numFmtId="43" fontId="4" fillId="0" borderId="0" xfId="1" applyFont="1" applyFill="1" applyBorder="1" applyAlignment="1">
      <alignment vertical="center" wrapText="1"/>
    </xf>
    <xf numFmtId="43" fontId="6" fillId="5" borderId="0" xfId="1" applyFont="1" applyFill="1" applyBorder="1" applyAlignment="1">
      <alignment horizontal="center" vertical="center"/>
    </xf>
    <xf numFmtId="43" fontId="1" fillId="0" borderId="0" xfId="1" applyFont="1" applyFill="1" applyBorder="1" applyAlignment="1">
      <alignment vertical="center" wrapText="1"/>
    </xf>
    <xf numFmtId="43" fontId="1" fillId="0" borderId="0" xfId="1" applyFont="1" applyFill="1" applyBorder="1" applyAlignment="1">
      <alignment vertical="center"/>
    </xf>
    <xf numFmtId="43" fontId="1" fillId="0" borderId="0" xfId="0" applyNumberFormat="1" applyFont="1" applyAlignment="1">
      <alignment vertical="center" wrapText="1"/>
    </xf>
    <xf numFmtId="43" fontId="5" fillId="4" borderId="0" xfId="0" applyNumberFormat="1" applyFont="1" applyFill="1" applyAlignment="1">
      <alignment horizontal="center" vertical="center" wrapText="1"/>
    </xf>
    <xf numFmtId="43" fontId="1" fillId="7" borderId="0" xfId="1" applyFont="1" applyFill="1" applyBorder="1" applyAlignment="1">
      <alignment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43" fontId="5" fillId="4" borderId="10" xfId="1" applyFont="1" applyFill="1" applyBorder="1" applyAlignment="1">
      <alignment horizontal="center" vertical="center" wrapText="1"/>
    </xf>
    <xf numFmtId="43" fontId="5" fillId="4" borderId="4" xfId="1" applyFont="1" applyFill="1" applyBorder="1" applyAlignment="1">
      <alignment horizontal="center" vertical="center" wrapText="1"/>
    </xf>
    <xf numFmtId="43" fontId="6" fillId="5" borderId="11" xfId="1" applyFont="1" applyFill="1" applyBorder="1" applyAlignment="1">
      <alignment horizontal="center" vertical="center"/>
    </xf>
    <xf numFmtId="43" fontId="6" fillId="5" borderId="12" xfId="1" applyFont="1" applyFill="1" applyBorder="1" applyAlignment="1">
      <alignment horizontal="center" vertical="center"/>
    </xf>
    <xf numFmtId="43" fontId="6" fillId="5" borderId="19" xfId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242358</xdr:colOff>
      <xdr:row>0</xdr:row>
      <xdr:rowOff>34927</xdr:rowOff>
    </xdr:from>
    <xdr:to>
      <xdr:col>0</xdr:col>
      <xdr:colOff>1954752</xdr:colOff>
      <xdr:row>3</xdr:row>
      <xdr:rowOff>85725</xdr:rowOff>
    </xdr:to>
    <xdr:pic>
      <xdr:nvPicPr>
        <xdr:cNvPr id="2" name="Picture 2" descr="A picture containing drawing, sign, mug&#10;&#10;Description automatically generated">
          <a:extLst>
            <a:ext uri="{FF2B5EF4-FFF2-40B4-BE49-F238E27FC236}">
              <a16:creationId xmlns:a16="http://schemas.microsoft.com/office/drawing/2014/main" id="{34CECB48-93A6-4B28-87CA-64C191EFF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358" y="34927"/>
          <a:ext cx="1712394" cy="7270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0D99E-4F56-48EF-B5A3-3279BC95798C}">
  <sheetPr>
    <pageSetUpPr fitToPage="1"/>
  </sheetPr>
  <dimension ref="A1:AC93"/>
  <sheetViews>
    <sheetView showGridLines="0" tabSelected="1" zoomScaleNormal="100" workbookViewId="0">
      <pane xSplit="3" ySplit="8" topLeftCell="D9" activePane="bottomRight" state="frozen"/>
      <selection pane="topRight" activeCell="D1" sqref="D1"/>
      <selection pane="bottomLeft" activeCell="A10" sqref="A10"/>
      <selection pane="bottomRight" activeCell="F94" sqref="F94"/>
    </sheetView>
  </sheetViews>
  <sheetFormatPr baseColWidth="10" defaultColWidth="9.140625" defaultRowHeight="15" x14ac:dyDescent="0.25"/>
  <cols>
    <col min="1" max="1" width="54.5703125" bestFit="1" customWidth="1"/>
    <col min="2" max="2" width="14.7109375" style="20" customWidth="1"/>
    <col min="3" max="3" width="15.7109375" style="20" customWidth="1"/>
    <col min="4" max="4" width="13.5703125" style="20" bestFit="1" customWidth="1"/>
    <col min="5" max="7" width="14.140625" style="10" bestFit="1" customWidth="1"/>
    <col min="8" max="8" width="13.5703125" style="10" bestFit="1" customWidth="1"/>
    <col min="9" max="13" width="14.140625" style="10" bestFit="1" customWidth="1"/>
    <col min="14" max="15" width="5.140625" style="10" hidden="1" customWidth="1"/>
    <col min="16" max="16" width="15.140625" style="10" bestFit="1" customWidth="1"/>
    <col min="17" max="17" width="18.7109375" style="10" hidden="1" customWidth="1"/>
    <col min="18" max="18" width="96.7109375" hidden="1" customWidth="1"/>
    <col min="20" max="27" width="6" bestFit="1" customWidth="1"/>
    <col min="28" max="29" width="7" bestFit="1" customWidth="1"/>
  </cols>
  <sheetData>
    <row r="1" spans="1:29" ht="18.75" x14ac:dyDescent="0.25">
      <c r="A1" s="55" t="s">
        <v>98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R1" s="1" t="s">
        <v>92</v>
      </c>
    </row>
    <row r="2" spans="1:29" ht="18.75" x14ac:dyDescent="0.25">
      <c r="A2" s="55">
        <v>2025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R2" s="1" t="s">
        <v>93</v>
      </c>
    </row>
    <row r="3" spans="1:29" ht="15.75" x14ac:dyDescent="0.25">
      <c r="A3" s="56" t="s">
        <v>96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R3" s="1" t="s">
        <v>91</v>
      </c>
    </row>
    <row r="4" spans="1:29" x14ac:dyDescent="0.25">
      <c r="A4" s="57" t="s">
        <v>36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R4" s="1" t="s">
        <v>94</v>
      </c>
    </row>
    <row r="5" spans="1:29" ht="9.9499999999999993" customHeight="1" thickBot="1" x14ac:dyDescent="0.3">
      <c r="P5" s="33"/>
      <c r="Q5" s="33"/>
      <c r="R5" s="1" t="s">
        <v>95</v>
      </c>
    </row>
    <row r="6" spans="1:29" ht="20.100000000000001" customHeight="1" x14ac:dyDescent="0.25">
      <c r="A6" s="48" t="s">
        <v>0</v>
      </c>
      <c r="B6" s="50" t="s">
        <v>99</v>
      </c>
      <c r="C6" s="50" t="s">
        <v>100</v>
      </c>
      <c r="D6" s="52" t="s">
        <v>101</v>
      </c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4"/>
      <c r="Q6" s="42"/>
      <c r="R6" s="1"/>
    </row>
    <row r="7" spans="1:29" ht="20.100000000000001" customHeight="1" x14ac:dyDescent="0.25">
      <c r="A7" s="49"/>
      <c r="B7" s="51"/>
      <c r="C7" s="51"/>
      <c r="D7" s="21" t="s">
        <v>79</v>
      </c>
      <c r="E7" s="22" t="s">
        <v>80</v>
      </c>
      <c r="F7" s="23" t="s">
        <v>81</v>
      </c>
      <c r="G7" s="23" t="s">
        <v>82</v>
      </c>
      <c r="H7" s="23" t="s">
        <v>83</v>
      </c>
      <c r="I7" s="24" t="s">
        <v>84</v>
      </c>
      <c r="J7" s="25" t="s">
        <v>85</v>
      </c>
      <c r="K7" s="24" t="s">
        <v>86</v>
      </c>
      <c r="L7" s="26" t="s">
        <v>87</v>
      </c>
      <c r="M7" s="25" t="s">
        <v>88</v>
      </c>
      <c r="N7" s="25" t="s">
        <v>89</v>
      </c>
      <c r="O7" s="25" t="s">
        <v>90</v>
      </c>
      <c r="P7" s="24" t="s">
        <v>97</v>
      </c>
      <c r="Q7" s="46" t="s">
        <v>106</v>
      </c>
      <c r="AB7" s="3"/>
      <c r="AC7" s="3"/>
    </row>
    <row r="8" spans="1:29" ht="20.100000000000001" customHeight="1" x14ac:dyDescent="0.25">
      <c r="A8" s="4" t="s">
        <v>1</v>
      </c>
      <c r="B8" s="12">
        <f>SUM(B73)</f>
        <v>354000000</v>
      </c>
      <c r="C8" s="12">
        <f t="shared" ref="C8:O8" si="0">SUM(C73)</f>
        <v>471119128.90999997</v>
      </c>
      <c r="D8" s="12">
        <f t="shared" si="0"/>
        <v>11851531.859999999</v>
      </c>
      <c r="E8" s="12">
        <f>SUM(E73)</f>
        <v>14871649.939999999</v>
      </c>
      <c r="F8" s="12">
        <f t="shared" si="0"/>
        <v>21584749.810000002</v>
      </c>
      <c r="G8" s="12">
        <f t="shared" si="0"/>
        <v>17856496.849999994</v>
      </c>
      <c r="H8" s="12">
        <f t="shared" si="0"/>
        <v>29572680.489999998</v>
      </c>
      <c r="I8" s="12">
        <f t="shared" si="0"/>
        <v>21326420.640000001</v>
      </c>
      <c r="J8" s="12">
        <f t="shared" si="0"/>
        <v>22265664.859999992</v>
      </c>
      <c r="K8" s="12">
        <f t="shared" si="0"/>
        <v>22985337.440000001</v>
      </c>
      <c r="L8" s="12">
        <f t="shared" si="0"/>
        <v>26904352.48</v>
      </c>
      <c r="M8" s="12">
        <f t="shared" si="0"/>
        <v>45069730.420000009</v>
      </c>
      <c r="N8" s="12">
        <f t="shared" si="0"/>
        <v>0</v>
      </c>
      <c r="O8" s="12">
        <f t="shared" si="0"/>
        <v>0</v>
      </c>
      <c r="P8" s="29">
        <f>SUM(D8:O8)</f>
        <v>234288614.78999999</v>
      </c>
      <c r="Q8" s="47">
        <f>+P8/C8*100</f>
        <v>49.730227539700941</v>
      </c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s="27" customFormat="1" ht="20.100000000000001" customHeight="1" x14ac:dyDescent="0.25">
      <c r="A9" s="5" t="s">
        <v>2</v>
      </c>
      <c r="B9" s="36">
        <f>SUM(B10:B14)</f>
        <v>232020884</v>
      </c>
      <c r="C9" s="38">
        <f>SUM(C10:C14)</f>
        <v>232020884</v>
      </c>
      <c r="D9" s="38">
        <f>SUM(D10:D14)</f>
        <v>9663877.5299999993</v>
      </c>
      <c r="E9" s="38">
        <f>SUM(E10:E14)</f>
        <v>10790318.43</v>
      </c>
      <c r="F9" s="38">
        <f t="shared" ref="F9:O9" si="1">SUM(F10:F14)</f>
        <v>12127452.690000001</v>
      </c>
      <c r="G9" s="38">
        <f t="shared" si="1"/>
        <v>11867811.689999996</v>
      </c>
      <c r="H9" s="36">
        <f t="shared" si="1"/>
        <v>22871185.780000001</v>
      </c>
      <c r="I9" s="38">
        <f t="shared" si="1"/>
        <v>13588384.32</v>
      </c>
      <c r="J9" s="38">
        <f t="shared" si="1"/>
        <v>14450666.329999994</v>
      </c>
      <c r="K9" s="38">
        <f t="shared" si="1"/>
        <v>14667007.040000001</v>
      </c>
      <c r="L9" s="38">
        <f t="shared" si="1"/>
        <v>14570727.439999998</v>
      </c>
      <c r="M9" s="38">
        <f t="shared" si="1"/>
        <v>21996965.130000006</v>
      </c>
      <c r="N9" s="38">
        <f t="shared" si="1"/>
        <v>0</v>
      </c>
      <c r="O9" s="38">
        <f t="shared" si="1"/>
        <v>0</v>
      </c>
      <c r="P9" s="38">
        <f>SUM(D9:O9)</f>
        <v>146594396.38</v>
      </c>
      <c r="Q9" s="44"/>
      <c r="T9" s="28"/>
    </row>
    <row r="10" spans="1:29" ht="18" customHeight="1" x14ac:dyDescent="0.25">
      <c r="A10" s="6" t="s">
        <v>3</v>
      </c>
      <c r="B10" s="41">
        <v>156190000</v>
      </c>
      <c r="C10" s="33">
        <v>154425000</v>
      </c>
      <c r="D10" s="16">
        <v>7689000</v>
      </c>
      <c r="E10" s="15">
        <f>16471022.61-D10</f>
        <v>8782022.6099999994</v>
      </c>
      <c r="F10" s="15">
        <f>26389150.44-D10-E10</f>
        <v>9918127.8300000019</v>
      </c>
      <c r="G10" s="15">
        <f>35983150.44-D10-E10-F10</f>
        <v>9593999.9999999963</v>
      </c>
      <c r="H10" s="16">
        <f>47493629.43-D10-E10-F10-G10</f>
        <v>11510478.990000002</v>
      </c>
      <c r="I10" s="15">
        <f>58515629.43-D10-E10-F10-G10-H10</f>
        <v>11022000</v>
      </c>
      <c r="J10" s="15">
        <f>70542263.35-D10-E10-F10-G10-H10-I10</f>
        <v>12026633.919999994</v>
      </c>
      <c r="K10" s="15">
        <f>82587763.35-D10-E10-F10-G10-H10-I10-J10</f>
        <v>12045500</v>
      </c>
      <c r="L10" s="15">
        <f>94897351.57-D10-E10-F10-G10-H10-I10-J10-K10</f>
        <v>12309588.219999999</v>
      </c>
      <c r="M10" s="15">
        <f>105663359.33-D10-E10-F10-G10-H10-I10-J10-K10-L10</f>
        <v>10766007.760000005</v>
      </c>
      <c r="N10" s="15"/>
      <c r="O10" s="15"/>
      <c r="P10" s="15">
        <f>SUM(D10:O10)</f>
        <v>105663359.33</v>
      </c>
      <c r="Q10" s="35"/>
    </row>
    <row r="11" spans="1:29" x14ac:dyDescent="0.25">
      <c r="A11" s="6" t="s">
        <v>4</v>
      </c>
      <c r="B11" s="41">
        <v>55984500</v>
      </c>
      <c r="C11" s="33">
        <v>56019500</v>
      </c>
      <c r="D11" s="16">
        <v>867750</v>
      </c>
      <c r="E11" s="15">
        <f>1665400-D11</f>
        <v>797650</v>
      </c>
      <c r="F11" s="15">
        <f>2541400-D11-E11</f>
        <v>876000</v>
      </c>
      <c r="G11" s="15">
        <f>3410650-D11-E11-F11</f>
        <v>869250</v>
      </c>
      <c r="H11" s="16">
        <f>13171574.98-D11-E11-F11-G11</f>
        <v>9760924.9800000004</v>
      </c>
      <c r="I11" s="10">
        <f>14126324.98-D11-E11-F11-G11-H11</f>
        <v>954750</v>
      </c>
      <c r="J11" s="15">
        <f>14980574.98-D11-E11-F11-G11-H11-I11</f>
        <v>854250</v>
      </c>
      <c r="K11" s="15">
        <f>15845924.98-D11-E11-F11-G11-H11-I11-J11</f>
        <v>865350</v>
      </c>
      <c r="L11" s="10">
        <f>16530041.65-D11-E11-F11-G11-H11-I11-J11-K11</f>
        <v>684116.66999999993</v>
      </c>
      <c r="M11" s="10">
        <f>26181555.55-D11-E11-F11-G11-H11-I11-J11-K11-L11</f>
        <v>9651513.9000000004</v>
      </c>
      <c r="N11" s="15"/>
      <c r="P11" s="15">
        <f t="shared" ref="P11:P13" si="2">SUM(D11:O11)</f>
        <v>26181555.550000001</v>
      </c>
      <c r="Q11" s="35"/>
    </row>
    <row r="12" spans="1:29" x14ac:dyDescent="0.25">
      <c r="A12" s="6" t="s">
        <v>37</v>
      </c>
      <c r="B12" s="41">
        <v>0</v>
      </c>
      <c r="C12" s="33">
        <v>0</v>
      </c>
      <c r="D12" s="16">
        <v>0</v>
      </c>
      <c r="E12" s="15">
        <f t="shared" ref="E12:E24" si="3">0-D12</f>
        <v>0</v>
      </c>
      <c r="F12" s="15">
        <f t="shared" ref="F12:F34" si="4">0-D12-E12</f>
        <v>0</v>
      </c>
      <c r="G12" s="15">
        <f t="shared" ref="G12:G13" si="5">0-D12-E12-F12</f>
        <v>0</v>
      </c>
      <c r="H12" s="16">
        <f t="shared" ref="H12:H33" si="6">0-D12-E12-F12-G12</f>
        <v>0</v>
      </c>
      <c r="I12" s="10">
        <f t="shared" ref="I12:I13" si="7">0-D12-E12-F12-G12-H12</f>
        <v>0</v>
      </c>
      <c r="J12" s="15">
        <f t="shared" ref="J12:J13" si="8">0-D12-E12-F12-G12-H12-I12</f>
        <v>0</v>
      </c>
      <c r="K12" s="15">
        <f t="shared" ref="K12:K33" si="9">0-D12-E12-F12-G12-H12-I12-J12</f>
        <v>0</v>
      </c>
      <c r="L12" s="10">
        <f t="shared" ref="L12:L13" si="10">0-D12-E12-F12-G12-H12-I12-J12-K12</f>
        <v>0</v>
      </c>
      <c r="M12" s="10">
        <f t="shared" ref="M12:M13" si="11">0-D12-E12-F12-G12-H12-I12-J12-K12-L12</f>
        <v>0</v>
      </c>
      <c r="N12" s="15">
        <v>0</v>
      </c>
      <c r="O12" s="10">
        <v>0</v>
      </c>
      <c r="P12" s="15">
        <f>SUM(D12:O12)</f>
        <v>0</v>
      </c>
      <c r="Q12" s="35"/>
    </row>
    <row r="13" spans="1:29" x14ac:dyDescent="0.25">
      <c r="A13" s="6" t="s">
        <v>5</v>
      </c>
      <c r="B13" s="41">
        <v>0</v>
      </c>
      <c r="C13" s="33">
        <v>0</v>
      </c>
      <c r="D13" s="16">
        <v>0</v>
      </c>
      <c r="E13" s="15">
        <f t="shared" si="3"/>
        <v>0</v>
      </c>
      <c r="F13" s="15">
        <f t="shared" si="4"/>
        <v>0</v>
      </c>
      <c r="G13" s="15">
        <f t="shared" si="5"/>
        <v>0</v>
      </c>
      <c r="H13" s="16">
        <f t="shared" si="6"/>
        <v>0</v>
      </c>
      <c r="I13" s="10">
        <f t="shared" si="7"/>
        <v>0</v>
      </c>
      <c r="J13" s="15">
        <f t="shared" si="8"/>
        <v>0</v>
      </c>
      <c r="K13" s="15">
        <f t="shared" si="9"/>
        <v>0</v>
      </c>
      <c r="L13" s="10">
        <f t="shared" si="10"/>
        <v>0</v>
      </c>
      <c r="M13" s="10">
        <f t="shared" si="11"/>
        <v>0</v>
      </c>
      <c r="N13" s="15">
        <v>0</v>
      </c>
      <c r="O13" s="10">
        <v>0</v>
      </c>
      <c r="P13" s="15">
        <f t="shared" si="2"/>
        <v>0</v>
      </c>
      <c r="Q13" s="35"/>
    </row>
    <row r="14" spans="1:29" x14ac:dyDescent="0.25">
      <c r="A14" s="6" t="s">
        <v>6</v>
      </c>
      <c r="B14" s="41">
        <v>19846384</v>
      </c>
      <c r="C14" s="41">
        <v>21576384</v>
      </c>
      <c r="D14" s="16">
        <v>1107127.53</v>
      </c>
      <c r="E14" s="15">
        <f>2317773.35-D14</f>
        <v>1210645.82</v>
      </c>
      <c r="F14" s="15">
        <f>3651098.21-D14-E14</f>
        <v>1333324.8599999996</v>
      </c>
      <c r="G14" s="15">
        <f>5055659.9-D14-E14-F14</f>
        <v>1404561.6900000002</v>
      </c>
      <c r="H14" s="16">
        <f>6655441.71-D14-E14-F14-G14</f>
        <v>1599781.8099999998</v>
      </c>
      <c r="I14" s="10">
        <f>8267076.03-D14-E14-F14-G14-H14</f>
        <v>1611634.32</v>
      </c>
      <c r="J14" s="15">
        <f>9836858.44-D14-E14-F14-G14-H14-I14</f>
        <v>1569782.4100000004</v>
      </c>
      <c r="K14" s="15">
        <f>11593015.48-D14-E14-F14-G14-H14-I14-J14</f>
        <v>1756157.0400000007</v>
      </c>
      <c r="L14" s="10">
        <f>13170038.03-D14-E14-F14-G14-H14-I14-J14-K14</f>
        <v>1577022.5499999991</v>
      </c>
      <c r="M14" s="10">
        <f>14749481.5-D14-E14-F14-G14-H14-I14-J14-K14-L14</f>
        <v>1579443.4700000014</v>
      </c>
      <c r="N14" s="15"/>
      <c r="P14" s="15">
        <f>SUM(D14:O14)</f>
        <v>14749481.500000002</v>
      </c>
      <c r="Q14" s="35"/>
    </row>
    <row r="15" spans="1:29" s="27" customFormat="1" x14ac:dyDescent="0.25">
      <c r="A15" s="5" t="s">
        <v>7</v>
      </c>
      <c r="B15" s="36">
        <f>SUM(B16:B24)</f>
        <v>105680008</v>
      </c>
      <c r="C15" s="36">
        <f>SUM(C16:C24)</f>
        <v>179732607.91</v>
      </c>
      <c r="D15" s="36">
        <f>SUM(D16:D24)</f>
        <v>2187654.33</v>
      </c>
      <c r="E15" s="37">
        <f>SUM(E16:E24)</f>
        <v>2369031.5100000002</v>
      </c>
      <c r="F15" s="37">
        <f t="shared" ref="F15:O15" si="12">SUM(F16:F24)</f>
        <v>7979198.3200000003</v>
      </c>
      <c r="G15" s="37">
        <f t="shared" si="12"/>
        <v>5015143.4399999995</v>
      </c>
      <c r="H15" s="36">
        <f t="shared" si="12"/>
        <v>4801983.1199999992</v>
      </c>
      <c r="I15" s="37">
        <f t="shared" si="12"/>
        <v>5837733.9300000016</v>
      </c>
      <c r="J15" s="37">
        <f t="shared" si="12"/>
        <v>6319075.799999998</v>
      </c>
      <c r="K15" s="37">
        <f t="shared" si="12"/>
        <v>7483078.6500000004</v>
      </c>
      <c r="L15" s="37">
        <f t="shared" si="12"/>
        <v>11906678.350000001</v>
      </c>
      <c r="M15" s="37">
        <f t="shared" si="12"/>
        <v>20851491.150000002</v>
      </c>
      <c r="N15" s="37">
        <f t="shared" si="12"/>
        <v>0</v>
      </c>
      <c r="O15" s="37">
        <f t="shared" si="12"/>
        <v>0</v>
      </c>
      <c r="P15" s="36">
        <f>SUM(D15:O15)</f>
        <v>74751068.599999994</v>
      </c>
      <c r="Q15" s="43"/>
    </row>
    <row r="16" spans="1:29" x14ac:dyDescent="0.25">
      <c r="A16" s="6" t="s">
        <v>8</v>
      </c>
      <c r="B16" s="39">
        <v>10476000</v>
      </c>
      <c r="C16" s="35">
        <v>11254000</v>
      </c>
      <c r="D16" s="39">
        <v>685540.13</v>
      </c>
      <c r="E16" s="10">
        <f>1426969.46-D16</f>
        <v>741429.33</v>
      </c>
      <c r="F16" s="10">
        <f>2128641.27-D16-E16</f>
        <v>701671.81000000017</v>
      </c>
      <c r="G16" s="10">
        <f>2874732.88-D16-E16-F16</f>
        <v>746091.60999999975</v>
      </c>
      <c r="H16" s="16">
        <f>3574710.61-D16-E16-F16-G16</f>
        <v>699977.7300000001</v>
      </c>
      <c r="I16" s="10">
        <f>4336416.05-D16-E16-F16-G16-H16</f>
        <v>761705.43999999983</v>
      </c>
      <c r="J16" s="10">
        <f>5094104.31-D16-E16-F16-G16-H16-I16</f>
        <v>757688.25999999989</v>
      </c>
      <c r="K16" s="10">
        <f>5866447.15-D16-E16-F16-G16-H16-I16-J16</f>
        <v>772342.84000000067</v>
      </c>
      <c r="L16" s="15">
        <f>6669295.72-D16-E16-F16-G16-H16-I16-J16-K16</f>
        <v>802848.56999999902</v>
      </c>
      <c r="M16" s="10">
        <f>7456468.66-D16-E16-F16-G16-H16-I16-J16-K16-L16</f>
        <v>787172.94000000076</v>
      </c>
      <c r="P16" s="10">
        <f>SUM(D16:O16)</f>
        <v>7456468.6600000001</v>
      </c>
    </row>
    <row r="17" spans="1:17" x14ac:dyDescent="0.25">
      <c r="A17" s="6" t="s">
        <v>9</v>
      </c>
      <c r="B17" s="39">
        <v>11985000</v>
      </c>
      <c r="C17" s="39">
        <v>17435750</v>
      </c>
      <c r="D17" s="39">
        <v>0</v>
      </c>
      <c r="E17" s="10">
        <f t="shared" si="3"/>
        <v>0</v>
      </c>
      <c r="F17" s="10">
        <f t="shared" si="4"/>
        <v>0</v>
      </c>
      <c r="G17" s="10">
        <f>59000-D17-E17-F17</f>
        <v>59000</v>
      </c>
      <c r="H17" s="16">
        <f>59000-D17-E17-F17-G17</f>
        <v>0</v>
      </c>
      <c r="I17" s="10">
        <f>740280-D17-E17-F17-G17-H17</f>
        <v>681280</v>
      </c>
      <c r="J17" s="10">
        <f>933280-D17-E17-F17-G17-H17-I17</f>
        <v>193000</v>
      </c>
      <c r="K17" s="10">
        <f>1483012-D17-E17-F17-G17-H17-I17-J17</f>
        <v>549732</v>
      </c>
      <c r="L17" s="15">
        <f>2506674.59-D17-E17-F17-G17-H17-I17-J17-K17</f>
        <v>1023662.5899999999</v>
      </c>
      <c r="M17" s="10">
        <f>6273727.93-D17-E17-F17-G17-H17-I17-J17-K17-L17</f>
        <v>3767053.34</v>
      </c>
      <c r="P17" s="10">
        <f t="shared" ref="P17:P24" si="13">SUM(D17:O17)</f>
        <v>6273727.9299999997</v>
      </c>
    </row>
    <row r="18" spans="1:17" x14ac:dyDescent="0.25">
      <c r="A18" s="6" t="s">
        <v>10</v>
      </c>
      <c r="B18" s="39">
        <v>6200000</v>
      </c>
      <c r="C18" s="35">
        <v>6225000</v>
      </c>
      <c r="D18" s="39">
        <v>303277.02</v>
      </c>
      <c r="E18" s="10">
        <f>331367.02-D18</f>
        <v>28090</v>
      </c>
      <c r="F18" s="10">
        <f>620321.72-D18-E18</f>
        <v>288954.69999999995</v>
      </c>
      <c r="G18" s="10">
        <f>757613.4-D18-E18-F18</f>
        <v>137291.68000000005</v>
      </c>
      <c r="H18" s="16">
        <f>1396745.4-D18-E18-F18-G18</f>
        <v>639131.99999999988</v>
      </c>
      <c r="I18" s="10">
        <f>1411567.9-D18-E18-F18-G18-H18</f>
        <v>14822.5</v>
      </c>
      <c r="J18" s="10">
        <f>1416325.4-D18-E18-F18-G18-H18-I18</f>
        <v>4757.5</v>
      </c>
      <c r="K18" s="10">
        <f>1554362.9-D18-E18-F18-G18-H18-I18-J18</f>
        <v>138037.5</v>
      </c>
      <c r="L18" s="15">
        <f>1600741.98-D18-E18-F18-G18-H18-I18-J18-K18</f>
        <v>46379.080000000075</v>
      </c>
      <c r="M18" s="10">
        <f>1802606.27-D18-E18-F18-G18-H18-I18-J18-K18-L18</f>
        <v>201864.29000000004</v>
      </c>
      <c r="P18" s="10">
        <f t="shared" si="13"/>
        <v>1802606.27</v>
      </c>
    </row>
    <row r="19" spans="1:17" ht="18" customHeight="1" x14ac:dyDescent="0.25">
      <c r="A19" s="6" t="s">
        <v>11</v>
      </c>
      <c r="B19" s="39">
        <v>2092010</v>
      </c>
      <c r="C19" s="39">
        <v>2092010</v>
      </c>
      <c r="D19" s="39">
        <v>88175.53</v>
      </c>
      <c r="E19" s="10">
        <f>88175.53-D19</f>
        <v>0</v>
      </c>
      <c r="F19" s="10">
        <f>88175.53-D19-E19</f>
        <v>0</v>
      </c>
      <c r="G19" s="10">
        <f>250853.93-D19-E19-F19</f>
        <v>162678.39999999999</v>
      </c>
      <c r="H19" s="16">
        <f>250853.93-D19-E19-F19-G19</f>
        <v>0</v>
      </c>
      <c r="I19" s="10">
        <f>646262.88-D19-E19-F19-G19-H19</f>
        <v>395408.94999999995</v>
      </c>
      <c r="J19" s="10">
        <f>646262.88-D19-E19-F19-G19-H19-I19</f>
        <v>0</v>
      </c>
      <c r="K19" s="10">
        <f>649162.88-D19-E19-F19-G19-H19-I19-J19</f>
        <v>2900</v>
      </c>
      <c r="L19" s="15">
        <f>649162.88-D19-E19-F19-G19-H19-I19-J19-K19</f>
        <v>0</v>
      </c>
      <c r="M19" s="10">
        <f>649162.88-D19-E19-F19-G19-H19-I19-J19-K19-L19</f>
        <v>0</v>
      </c>
      <c r="P19" s="10">
        <f t="shared" si="13"/>
        <v>649162.87999999989</v>
      </c>
    </row>
    <row r="20" spans="1:17" x14ac:dyDescent="0.25">
      <c r="A20" s="6" t="s">
        <v>12</v>
      </c>
      <c r="B20" s="39">
        <v>5419200</v>
      </c>
      <c r="C20" s="39">
        <v>6482200</v>
      </c>
      <c r="D20" s="39">
        <v>0</v>
      </c>
      <c r="E20" s="10">
        <f>139240-D20</f>
        <v>139240</v>
      </c>
      <c r="F20" s="10">
        <f>208860-D20-E20</f>
        <v>69620</v>
      </c>
      <c r="G20" s="10">
        <f>305080.01-D20-E20-F20</f>
        <v>96220.010000000009</v>
      </c>
      <c r="H20" s="16">
        <f>374700.01-D20-E20-F20-G20</f>
        <v>69620</v>
      </c>
      <c r="I20" s="10">
        <f>444320.01-D20-E20-F20-G20-H20</f>
        <v>69620</v>
      </c>
      <c r="J20" s="10">
        <f>513940.01-D20-E20-F20-G20-H20-I20</f>
        <v>69620</v>
      </c>
      <c r="K20" s="10">
        <f>583560.01-D20-E20-F20-G20-H20-I20-J20</f>
        <v>69620</v>
      </c>
      <c r="L20" s="15">
        <f>1347748.19-D20-E20-F20-G20-H20-I20-J20-K20</f>
        <v>764188.17999999993</v>
      </c>
      <c r="M20" s="10">
        <f>1456568.44-D20-E20-F20-G20-H20-I20-J20-K20-L20</f>
        <v>108820.25</v>
      </c>
      <c r="P20" s="10">
        <f t="shared" si="13"/>
        <v>1456568.44</v>
      </c>
    </row>
    <row r="21" spans="1:17" x14ac:dyDescent="0.25">
      <c r="A21" s="6" t="s">
        <v>13</v>
      </c>
      <c r="B21" s="39">
        <v>18394018</v>
      </c>
      <c r="C21" s="35">
        <v>18794018</v>
      </c>
      <c r="D21" s="39">
        <v>1110661.6499999999</v>
      </c>
      <c r="E21" s="10">
        <f>2570933.83-D21</f>
        <v>1460272.1800000002</v>
      </c>
      <c r="F21" s="10">
        <f>3901637.97-D21-E21</f>
        <v>1330704.1400000001</v>
      </c>
      <c r="G21" s="10">
        <f>4721334.14-D21-E21-F21</f>
        <v>819696.16999999946</v>
      </c>
      <c r="H21" s="16">
        <f>6010949.85-D21-E21-F21-G21</f>
        <v>1289615.7099999995</v>
      </c>
      <c r="I21" s="10">
        <f>7216948.64-D21-E21-F21-G21-H21</f>
        <v>1205998.7900000014</v>
      </c>
      <c r="J21" s="10">
        <f>8433291.61-D21-E21-F21-G21-H21-I21</f>
        <v>1216342.9699999983</v>
      </c>
      <c r="K21" s="10">
        <f>9855544.31-D21-E21-F21-G21-H21-I21-J21</f>
        <v>1422252.7000000007</v>
      </c>
      <c r="L21" s="15">
        <f>11186226.64-D21-E21-F21-G21-H21-I21-J21-K21</f>
        <v>1330682.3300000005</v>
      </c>
      <c r="M21" s="10">
        <f>12612778.72-D21-E21-F21-G21-H21-I21-J21-K21-L21</f>
        <v>1426552.0800000005</v>
      </c>
      <c r="P21" s="10">
        <f t="shared" si="13"/>
        <v>12612778.720000001</v>
      </c>
    </row>
    <row r="22" spans="1:17" ht="30" x14ac:dyDescent="0.25">
      <c r="A22" s="6" t="s">
        <v>14</v>
      </c>
      <c r="B22" s="39">
        <v>2652000</v>
      </c>
      <c r="C22" s="39">
        <v>12552000</v>
      </c>
      <c r="D22" s="39">
        <v>0</v>
      </c>
      <c r="E22" s="10">
        <f t="shared" si="3"/>
        <v>0</v>
      </c>
      <c r="F22" s="10">
        <f>348475.7-D22-E22</f>
        <v>348475.7</v>
      </c>
      <c r="G22" s="10">
        <f>851461.7-D22-E22-F22</f>
        <v>502985.99999999994</v>
      </c>
      <c r="H22" s="16">
        <f>1014671.04-D22-E22-F22-G22</f>
        <v>163209.34000000014</v>
      </c>
      <c r="I22" s="10">
        <f>1251194.97-D22-E22-F22-G22-H22</f>
        <v>236523.92999999993</v>
      </c>
      <c r="J22" s="10">
        <f>2750489.08-D22-E22-F22-G22-H22-I22</f>
        <v>1499294.1099999999</v>
      </c>
      <c r="K22" s="10">
        <f>4096117.16-D22-E22-F22-G22-H22-I22-J22</f>
        <v>1345628.0799999996</v>
      </c>
      <c r="L22" s="15">
        <f>4182515.66-D22-E22-F22-G22-H22-I22-J22-K22</f>
        <v>86398.5</v>
      </c>
      <c r="M22" s="10">
        <f>4854661.36-D22-E22-F22-G22-H22-I22-J22-K22-L22</f>
        <v>672145.70000000019</v>
      </c>
      <c r="P22" s="10">
        <f t="shared" si="13"/>
        <v>4854661.3599999994</v>
      </c>
    </row>
    <row r="23" spans="1:17" ht="30" x14ac:dyDescent="0.25">
      <c r="A23" s="6" t="s">
        <v>15</v>
      </c>
      <c r="B23" s="39">
        <v>33918500</v>
      </c>
      <c r="C23" s="39">
        <v>90013168.909999996</v>
      </c>
      <c r="D23" s="39"/>
      <c r="E23" s="10">
        <f t="shared" si="3"/>
        <v>0</v>
      </c>
      <c r="F23" s="10">
        <f>3535057.01-D23-E23</f>
        <v>3535057.01</v>
      </c>
      <c r="G23" s="10">
        <f>5315155.48-D23-E23-F23</f>
        <v>1780098.4700000007</v>
      </c>
      <c r="H23" s="16">
        <f>6551198.75-D23-E23-F23-G23</f>
        <v>1236043.2699999996</v>
      </c>
      <c r="I23" s="10">
        <f>8072898.75-D23-E23-F23-G23-H23</f>
        <v>1521700</v>
      </c>
      <c r="J23" s="10">
        <f>9939998.74-D23-E23-F23-G23-H23-I23</f>
        <v>1867099.9900000002</v>
      </c>
      <c r="K23" s="10">
        <f>13083801.27-D23-E23-F23-G23-H23-I23-J23</f>
        <v>3143802.5299999993</v>
      </c>
      <c r="L23" s="15">
        <f>18963009.32-D23-E23-F23-G23-H23-I23-J23-K23</f>
        <v>5879208.0500000007</v>
      </c>
      <c r="M23" s="10">
        <f>32187215.32-D23-E23-F23-G23-H23-I23-J23-K23-L23</f>
        <v>13224206.000000004</v>
      </c>
      <c r="P23" s="10">
        <f t="shared" si="13"/>
        <v>32187215.320000004</v>
      </c>
    </row>
    <row r="24" spans="1:17" x14ac:dyDescent="0.25">
      <c r="A24" s="6" t="s">
        <v>38</v>
      </c>
      <c r="B24" s="39">
        <v>14543280</v>
      </c>
      <c r="C24" s="39">
        <v>14884461</v>
      </c>
      <c r="D24" s="39">
        <v>0</v>
      </c>
      <c r="E24" s="10">
        <f t="shared" si="3"/>
        <v>0</v>
      </c>
      <c r="F24" s="10">
        <f>1704714.96-D24-E24</f>
        <v>1704714.96</v>
      </c>
      <c r="G24" s="10">
        <f>2415796.06-D24-E24-F24</f>
        <v>711081.10000000009</v>
      </c>
      <c r="H24" s="16">
        <f>3120181.13-D24-E24-F24-G24</f>
        <v>704385.06999999983</v>
      </c>
      <c r="I24" s="10">
        <f>4070855.45-D24-E24-F24-G24-H24</f>
        <v>950674.3200000003</v>
      </c>
      <c r="J24" s="10">
        <f>4782128.42-D24-E24-F24-G24-H24-I24</f>
        <v>711272.96999999974</v>
      </c>
      <c r="K24" s="10">
        <f>4820891.42-D24-E24-F24-G24-H24-I24-J24</f>
        <v>38763</v>
      </c>
      <c r="L24" s="15">
        <f>6794202.47-D24-E24-F24-G24-H24-I24-J24-K24</f>
        <v>1973311.0500000003</v>
      </c>
      <c r="M24" s="10">
        <f>7457879.02-D24-E24-F24-G24-H24-I24-J24-K24-L24</f>
        <v>663676.54999999842</v>
      </c>
      <c r="P24" s="10">
        <f t="shared" si="13"/>
        <v>7457879.0199999996</v>
      </c>
    </row>
    <row r="25" spans="1:17" s="27" customFormat="1" ht="19.5" customHeight="1" x14ac:dyDescent="0.25">
      <c r="A25" s="5" t="s">
        <v>16</v>
      </c>
      <c r="B25" s="36">
        <f>SUM(B26:B34)</f>
        <v>15355650</v>
      </c>
      <c r="C25" s="36">
        <f>SUM(C26:C34)</f>
        <v>25422179</v>
      </c>
      <c r="D25" s="36">
        <f>SUM(D26:D34)</f>
        <v>0</v>
      </c>
      <c r="E25" s="37">
        <f>SUM(E26:E34)</f>
        <v>1712300</v>
      </c>
      <c r="F25" s="37">
        <f t="shared" ref="F25:O25" si="14">SUM(F26:F34)</f>
        <v>756826.92</v>
      </c>
      <c r="G25" s="37">
        <f t="shared" si="14"/>
        <v>726541.72</v>
      </c>
      <c r="H25" s="36">
        <f t="shared" si="14"/>
        <v>1450755.9000000001</v>
      </c>
      <c r="I25" s="37">
        <f t="shared" si="14"/>
        <v>1436951.87</v>
      </c>
      <c r="J25" s="37">
        <f t="shared" si="14"/>
        <v>172347.88999999981</v>
      </c>
      <c r="K25" s="37">
        <f t="shared" si="14"/>
        <v>310185.76999999996</v>
      </c>
      <c r="L25" s="37">
        <f t="shared" si="14"/>
        <v>136946.69000000035</v>
      </c>
      <c r="M25" s="37">
        <f t="shared" si="14"/>
        <v>1821274.14</v>
      </c>
      <c r="N25" s="37">
        <f t="shared" si="14"/>
        <v>0</v>
      </c>
      <c r="O25" s="37">
        <f t="shared" si="14"/>
        <v>0</v>
      </c>
      <c r="P25" s="36">
        <f>SUM(D25:O25)</f>
        <v>8524130.9000000004</v>
      </c>
      <c r="Q25" s="43"/>
    </row>
    <row r="26" spans="1:17" ht="21.75" customHeight="1" x14ac:dyDescent="0.25">
      <c r="A26" s="6" t="s">
        <v>17</v>
      </c>
      <c r="B26" s="39">
        <v>571050</v>
      </c>
      <c r="C26" s="35">
        <v>1986050</v>
      </c>
      <c r="D26" s="16"/>
      <c r="E26" s="10">
        <f>12300-D26</f>
        <v>12300</v>
      </c>
      <c r="F26" s="10">
        <f>112392.6-D26-E26</f>
        <v>100092.6</v>
      </c>
      <c r="G26" s="10">
        <f>220048.5-D26-E26-F26</f>
        <v>107655.9</v>
      </c>
      <c r="H26" s="16">
        <f>623059.1-D26-E26-F26-G26</f>
        <v>403010.6</v>
      </c>
      <c r="I26" s="10">
        <f>671598.22-D26-E26-F26-G26-H26</f>
        <v>48539.119999999995</v>
      </c>
      <c r="J26" s="10">
        <f>708905.42-D26-E26-F26-G26-H26-I26</f>
        <v>37307.20000000007</v>
      </c>
      <c r="K26" s="15">
        <f>819658.66-D26-E26-F26-G26-H26-I26-J26</f>
        <v>110753.23999999999</v>
      </c>
      <c r="L26" s="15">
        <f>856478.66-D26-E26-F26-G26-H26-I26-J26-K26</f>
        <v>36820</v>
      </c>
      <c r="M26" s="10">
        <f>888953.36-D26-E26-F26-G26-H26-I26-J26-K26-L26</f>
        <v>32474.699999999953</v>
      </c>
      <c r="P26" s="10">
        <f>SUM(D26:O26)</f>
        <v>888953.36</v>
      </c>
    </row>
    <row r="27" spans="1:17" x14ac:dyDescent="0.25">
      <c r="A27" s="6" t="s">
        <v>18</v>
      </c>
      <c r="B27" s="39">
        <v>1000000</v>
      </c>
      <c r="C27" s="35">
        <v>2150000</v>
      </c>
      <c r="D27" s="16"/>
      <c r="F27" s="10">
        <f t="shared" si="4"/>
        <v>0</v>
      </c>
      <c r="G27" s="10">
        <f t="shared" ref="G27:G34" si="15">0-D27-E27-F27</f>
        <v>0</v>
      </c>
      <c r="H27" s="16">
        <f t="shared" si="6"/>
        <v>0</v>
      </c>
      <c r="I27" s="10">
        <f t="shared" ref="I27:I33" si="16">0-D27-E27-F27-G27-H27</f>
        <v>0</v>
      </c>
      <c r="J27" s="10">
        <f t="shared" ref="J27:J33" si="17">0-D27-E27-F27-G27-H27-I27</f>
        <v>0</v>
      </c>
      <c r="K27" s="15">
        <f t="shared" si="9"/>
        <v>0</v>
      </c>
      <c r="L27" s="15">
        <f t="shared" ref="L27:L33" si="18">0-D27-E27-F27-G27-H27-I27-J27-K27</f>
        <v>0</v>
      </c>
      <c r="M27" s="10">
        <f t="shared" ref="M27:M33" si="19">0-D27-E27-F27-G27-H27-I27-J27-K27-L27</f>
        <v>0</v>
      </c>
      <c r="P27" s="10">
        <f t="shared" ref="P27:P34" si="20">SUM(D27:O27)</f>
        <v>0</v>
      </c>
    </row>
    <row r="28" spans="1:17" x14ac:dyDescent="0.25">
      <c r="A28" s="6" t="s">
        <v>19</v>
      </c>
      <c r="B28" s="39">
        <v>570000</v>
      </c>
      <c r="C28" s="39">
        <v>2170001</v>
      </c>
      <c r="D28" s="16"/>
      <c r="F28" s="10">
        <f>54734.3-D28-E28</f>
        <v>54734.3</v>
      </c>
      <c r="G28" s="10">
        <f>71620.1-D28-E28-F28</f>
        <v>16885.800000000003</v>
      </c>
      <c r="H28" s="16">
        <f>103385.7-D28-E28-F28-G28</f>
        <v>31765.599999999991</v>
      </c>
      <c r="I28" s="10">
        <f>109338.21-D28-E28-F28-G28-H28</f>
        <v>5952.5100000000093</v>
      </c>
      <c r="J28" s="34">
        <f>129865.4-D28-E28-F28-G28-H28-I28</f>
        <v>20527.189999999988</v>
      </c>
      <c r="K28" s="15">
        <f>234013.62-D28-E28-F28-G28-H28-I28-J28</f>
        <v>104148.22000000003</v>
      </c>
      <c r="L28" s="15">
        <f>234013.62-D28-E28-F28-G28-H28-I28-J28-K28</f>
        <v>0</v>
      </c>
      <c r="M28" s="10">
        <f>234013.62-D28-E28-F28-G28-H28-I28-J28-K28-L28</f>
        <v>0</v>
      </c>
      <c r="P28" s="10">
        <f t="shared" si="20"/>
        <v>234013.62000000002</v>
      </c>
    </row>
    <row r="29" spans="1:17" x14ac:dyDescent="0.25">
      <c r="A29" s="6" t="s">
        <v>20</v>
      </c>
      <c r="B29" s="39">
        <v>0</v>
      </c>
      <c r="C29" s="35">
        <v>75000</v>
      </c>
      <c r="D29" s="16"/>
      <c r="F29" s="10">
        <f t="shared" si="4"/>
        <v>0</v>
      </c>
      <c r="G29" s="10">
        <f t="shared" si="15"/>
        <v>0</v>
      </c>
      <c r="H29" s="16">
        <f t="shared" si="6"/>
        <v>0</v>
      </c>
      <c r="I29" s="10">
        <f t="shared" si="16"/>
        <v>0</v>
      </c>
      <c r="J29" s="10">
        <f t="shared" si="17"/>
        <v>0</v>
      </c>
      <c r="K29" s="15">
        <f t="shared" si="9"/>
        <v>0</v>
      </c>
      <c r="L29" s="15">
        <f t="shared" si="18"/>
        <v>0</v>
      </c>
      <c r="M29" s="10">
        <f t="shared" si="19"/>
        <v>0</v>
      </c>
      <c r="P29" s="10">
        <f t="shared" si="20"/>
        <v>0</v>
      </c>
    </row>
    <row r="30" spans="1:17" x14ac:dyDescent="0.25">
      <c r="A30" s="6" t="s">
        <v>21</v>
      </c>
      <c r="B30" s="39">
        <v>300000</v>
      </c>
      <c r="C30" s="39">
        <v>650001</v>
      </c>
      <c r="D30" s="16"/>
      <c r="F30" s="10">
        <f>42000.02-D30-E30</f>
        <v>42000.02</v>
      </c>
      <c r="G30" s="10">
        <f>84000.04-D30-E30-F30</f>
        <v>42000.02</v>
      </c>
      <c r="H30" s="16">
        <f>140900.04-D30-E30-F30-G30</f>
        <v>56900.000000000022</v>
      </c>
      <c r="I30" s="10">
        <f>140900.04-D30-E30-F30-G30-H30</f>
        <v>0</v>
      </c>
      <c r="J30" s="10">
        <f>140900.04-D30-E30-F30-G30-H30-I30</f>
        <v>0</v>
      </c>
      <c r="K30" s="15">
        <f>140900.04-D30-E30-F30-G30-H30-I30-J30</f>
        <v>0</v>
      </c>
      <c r="L30" s="15">
        <f>140900.04-D30-E30-F30-G30-H30-I30-J30-K30</f>
        <v>0</v>
      </c>
      <c r="M30" s="10">
        <f>140900.04-D30-E30-F30-G30-H30-I30-J30-K30-L30</f>
        <v>0</v>
      </c>
      <c r="P30" s="10">
        <f t="shared" si="20"/>
        <v>140900.04</v>
      </c>
    </row>
    <row r="31" spans="1:17" ht="30" x14ac:dyDescent="0.25">
      <c r="A31" s="6" t="s">
        <v>22</v>
      </c>
      <c r="B31" s="39">
        <v>17300</v>
      </c>
      <c r="C31" s="35">
        <v>317300</v>
      </c>
      <c r="D31" s="16"/>
      <c r="F31" s="10">
        <f t="shared" si="4"/>
        <v>0</v>
      </c>
      <c r="G31" s="10">
        <f t="shared" si="15"/>
        <v>0</v>
      </c>
      <c r="H31" s="16">
        <f t="shared" si="6"/>
        <v>0</v>
      </c>
      <c r="I31" s="10">
        <f t="shared" si="16"/>
        <v>0</v>
      </c>
      <c r="J31" s="10">
        <f>365.89-D31-E31-F31-G31-H31-I31</f>
        <v>365.89</v>
      </c>
      <c r="K31" s="15">
        <f>365.89-D31-E31-F31-G31-H31-I31-J31</f>
        <v>0</v>
      </c>
      <c r="L31" s="15">
        <f>17566.45-D31-E31-F31-G31-H31-I31-J31-K31</f>
        <v>17200.560000000001</v>
      </c>
      <c r="M31" s="10">
        <f>17566.45-D31-E31-F31-G31-H31-I31-J31-K31-L31</f>
        <v>0</v>
      </c>
      <c r="P31" s="10">
        <f t="shared" si="20"/>
        <v>17566.45</v>
      </c>
    </row>
    <row r="32" spans="1:17" ht="30" x14ac:dyDescent="0.25">
      <c r="A32" s="6" t="s">
        <v>23</v>
      </c>
      <c r="B32" s="39">
        <v>11388325</v>
      </c>
      <c r="C32" s="39">
        <v>12105602</v>
      </c>
      <c r="D32" s="16"/>
      <c r="E32" s="10">
        <f>1700000-D32</f>
        <v>1700000</v>
      </c>
      <c r="F32" s="10">
        <f>2260000-D32-E32</f>
        <v>560000</v>
      </c>
      <c r="G32" s="10">
        <f>2820000-D32-E32-F32</f>
        <v>560000</v>
      </c>
      <c r="H32" s="16">
        <f>3663174.2-D32-E32-F32-G32</f>
        <v>843174.20000000019</v>
      </c>
      <c r="I32" s="10">
        <f>4504329.2-D32-E32-F32-G32-H32</f>
        <v>841155</v>
      </c>
      <c r="J32" s="10">
        <f>4504923.92-D32-E32-F32-G32-H32-I32</f>
        <v>594.71999999973923</v>
      </c>
      <c r="K32" s="15">
        <f>4505513.92-D32-E32-F32-G32-H32-I32-J32</f>
        <v>590</v>
      </c>
      <c r="L32" s="15">
        <f>4508847.49-D32-E32-F32-G32-H32-I32-J32-K32</f>
        <v>3333.570000000298</v>
      </c>
      <c r="M32" s="10">
        <f>6308847.49-D32-E32-F32-G32-H32-I32-J32-K32-L32</f>
        <v>1800000</v>
      </c>
      <c r="P32" s="10">
        <f t="shared" si="20"/>
        <v>6308847.4900000002</v>
      </c>
    </row>
    <row r="33" spans="1:17" ht="30" x14ac:dyDescent="0.25">
      <c r="A33" s="6" t="s">
        <v>39</v>
      </c>
      <c r="B33" s="40">
        <v>0</v>
      </c>
      <c r="C33" s="40">
        <v>0</v>
      </c>
      <c r="D33" s="16">
        <v>0</v>
      </c>
      <c r="E33" s="10">
        <v>0</v>
      </c>
      <c r="F33" s="10">
        <f t="shared" si="4"/>
        <v>0</v>
      </c>
      <c r="G33" s="10">
        <f t="shared" si="15"/>
        <v>0</v>
      </c>
      <c r="H33" s="16">
        <f t="shared" si="6"/>
        <v>0</v>
      </c>
      <c r="I33" s="10">
        <f t="shared" si="16"/>
        <v>0</v>
      </c>
      <c r="J33" s="10">
        <f t="shared" si="17"/>
        <v>0</v>
      </c>
      <c r="K33" s="15">
        <f t="shared" si="9"/>
        <v>0</v>
      </c>
      <c r="L33" s="15">
        <f t="shared" si="18"/>
        <v>0</v>
      </c>
      <c r="M33" s="10">
        <f t="shared" si="19"/>
        <v>0</v>
      </c>
      <c r="N33" s="10">
        <v>0</v>
      </c>
      <c r="O33" s="10">
        <v>0</v>
      </c>
      <c r="P33" s="10">
        <f t="shared" si="20"/>
        <v>0</v>
      </c>
    </row>
    <row r="34" spans="1:17" x14ac:dyDescent="0.25">
      <c r="A34" s="6" t="s">
        <v>24</v>
      </c>
      <c r="B34" s="39">
        <v>1508975</v>
      </c>
      <c r="C34" s="39">
        <v>5968225</v>
      </c>
      <c r="D34" s="16"/>
      <c r="F34" s="10">
        <f t="shared" si="4"/>
        <v>0</v>
      </c>
      <c r="G34" s="10">
        <f t="shared" si="15"/>
        <v>0</v>
      </c>
      <c r="H34" s="16">
        <f>115905.5-D34-E34-F34-G34</f>
        <v>115905.5</v>
      </c>
      <c r="I34" s="10">
        <f>657210.74-D34-E34-F34-G34-H34</f>
        <v>541305.24</v>
      </c>
      <c r="J34" s="10">
        <f>770763.63-D34-E34-F34-G34-H34-I34</f>
        <v>113552.89000000001</v>
      </c>
      <c r="K34" s="15">
        <f>865457.94-D34-E34-F34-G34-H34-I34-J34</f>
        <v>94694.309999999939</v>
      </c>
      <c r="L34" s="15">
        <f>945050.5-D34-E34-F34-G34-H34-I34-J34-K34</f>
        <v>79592.560000000056</v>
      </c>
      <c r="M34" s="10">
        <f>933849.94-D34-E34-F34-G34-H34-I34-J34-K34-L34</f>
        <v>-11200.560000000056</v>
      </c>
      <c r="P34" s="10">
        <f t="shared" si="20"/>
        <v>933849.94</v>
      </c>
    </row>
    <row r="35" spans="1:17" s="27" customFormat="1" x14ac:dyDescent="0.25">
      <c r="A35" s="5" t="s">
        <v>25</v>
      </c>
      <c r="B35" s="36">
        <f>SUM(B36:B42)</f>
        <v>0</v>
      </c>
      <c r="C35" s="38">
        <f>SUM(C36:C42)</f>
        <v>4800000</v>
      </c>
      <c r="D35" s="36">
        <f>SUM(D36:D42)</f>
        <v>0</v>
      </c>
      <c r="E35" s="37">
        <f>SUM(E36:E42)</f>
        <v>0</v>
      </c>
      <c r="F35" s="37">
        <f t="shared" ref="F35" si="21">SUM(F36:F42)</f>
        <v>0</v>
      </c>
      <c r="G35" s="37">
        <f>SUM(G36:G42)</f>
        <v>247000</v>
      </c>
      <c r="H35" s="36">
        <f>SUM(H36:H42)</f>
        <v>0</v>
      </c>
      <c r="I35" s="37">
        <f>SUM(I36:I42)</f>
        <v>450000</v>
      </c>
      <c r="J35" s="37">
        <f>SUM(J36:J42)</f>
        <v>487500</v>
      </c>
      <c r="K35" s="37">
        <f t="shared" ref="K35" si="22">SUM(K36:K42)</f>
        <v>124314.80000000005</v>
      </c>
      <c r="L35" s="37">
        <f t="shared" ref="L35" si="23">SUM(L36:L42)</f>
        <v>290000</v>
      </c>
      <c r="M35" s="37">
        <f t="shared" ref="M35" si="24">SUM(M36:M42)</f>
        <v>400000</v>
      </c>
      <c r="N35" s="37">
        <f t="shared" ref="N35" si="25">SUM(N36:N42)</f>
        <v>0</v>
      </c>
      <c r="O35" s="37">
        <f t="shared" ref="O35" si="26">SUM(O36:O42)</f>
        <v>0</v>
      </c>
      <c r="P35" s="37">
        <f>SUM(D35:O35)</f>
        <v>1998814.8</v>
      </c>
      <c r="Q35" s="11"/>
    </row>
    <row r="36" spans="1:17" ht="30" x14ac:dyDescent="0.25">
      <c r="A36" s="6" t="s">
        <v>26</v>
      </c>
      <c r="B36" s="16">
        <v>0</v>
      </c>
      <c r="C36" s="15">
        <v>4800000</v>
      </c>
      <c r="D36" s="16">
        <v>0</v>
      </c>
      <c r="E36" s="10">
        <v>0</v>
      </c>
      <c r="F36" s="10">
        <f>0-D36-E36</f>
        <v>0</v>
      </c>
      <c r="G36" s="10">
        <f>247000-D36-E36-F36</f>
        <v>247000</v>
      </c>
      <c r="H36" s="16">
        <f>247000-D36-E36-F36-G36</f>
        <v>0</v>
      </c>
      <c r="I36" s="10">
        <f>697000-D36-E36-F36-G36-H36</f>
        <v>450000</v>
      </c>
      <c r="J36" s="10">
        <f>1184500-D36-E36-F36-G36-H36-I36</f>
        <v>487500</v>
      </c>
      <c r="K36" s="15">
        <f>1308814.8-D36-E36-F36-G36-H36-I36-J36</f>
        <v>124314.80000000005</v>
      </c>
      <c r="L36" s="15">
        <f>1598814.8-D36-E36-F36-G36-H36-I36-J36-K36</f>
        <v>290000</v>
      </c>
      <c r="M36" s="10">
        <f>1998814.8-D36-E36-F36-G36-H36-I36-J36-K36-L36</f>
        <v>400000</v>
      </c>
      <c r="N36" s="10">
        <v>0</v>
      </c>
      <c r="O36" s="10">
        <v>0</v>
      </c>
      <c r="P36" s="10">
        <f>SUM(D36:O36)</f>
        <v>1998814.8</v>
      </c>
    </row>
    <row r="37" spans="1:17" ht="30" x14ac:dyDescent="0.25">
      <c r="A37" s="6" t="s">
        <v>40</v>
      </c>
      <c r="B37" s="16"/>
      <c r="C37" s="15"/>
      <c r="D37" s="16"/>
      <c r="H37" s="16"/>
      <c r="M37" s="10">
        <f t="shared" ref="M37:M42" si="27">0-D37-E37-F37-G37-H37-I37-J37-K37-L37</f>
        <v>0</v>
      </c>
      <c r="N37" s="10">
        <f t="shared" ref="N37:N72" si="28">0-D37-E37-F37-G37-H37-I37-J37-K37-L37-M37</f>
        <v>0</v>
      </c>
      <c r="O37" s="10">
        <f>0-E37-F37-G37-H37-I37-J37-K37-L37-M37-N37-D37</f>
        <v>0</v>
      </c>
      <c r="P37" s="10">
        <f t="shared" ref="P37:P42" si="29">SUM(D37:O37)</f>
        <v>0</v>
      </c>
    </row>
    <row r="38" spans="1:17" ht="30" x14ac:dyDescent="0.25">
      <c r="A38" s="6" t="s">
        <v>41</v>
      </c>
      <c r="B38" s="16"/>
      <c r="C38" s="15"/>
      <c r="D38" s="16"/>
      <c r="H38" s="16"/>
      <c r="M38" s="10">
        <f t="shared" si="27"/>
        <v>0</v>
      </c>
      <c r="N38" s="10">
        <f t="shared" si="28"/>
        <v>0</v>
      </c>
      <c r="P38" s="10">
        <f t="shared" si="29"/>
        <v>0</v>
      </c>
    </row>
    <row r="39" spans="1:17" ht="30" x14ac:dyDescent="0.25">
      <c r="A39" s="6" t="s">
        <v>42</v>
      </c>
      <c r="B39" s="16"/>
      <c r="C39" s="15"/>
      <c r="D39" s="16"/>
      <c r="H39" s="16"/>
      <c r="M39" s="10">
        <f t="shared" si="27"/>
        <v>0</v>
      </c>
      <c r="N39" s="10">
        <f t="shared" si="28"/>
        <v>0</v>
      </c>
      <c r="P39" s="10">
        <f t="shared" si="29"/>
        <v>0</v>
      </c>
    </row>
    <row r="40" spans="1:17" ht="30" x14ac:dyDescent="0.25">
      <c r="A40" s="6" t="s">
        <v>43</v>
      </c>
      <c r="B40" s="16"/>
      <c r="C40" s="15"/>
      <c r="D40" s="16"/>
      <c r="H40" s="16"/>
      <c r="M40" s="10">
        <f t="shared" si="27"/>
        <v>0</v>
      </c>
      <c r="N40" s="10">
        <f t="shared" si="28"/>
        <v>0</v>
      </c>
      <c r="P40" s="10">
        <f t="shared" si="29"/>
        <v>0</v>
      </c>
    </row>
    <row r="41" spans="1:17" ht="30" x14ac:dyDescent="0.25">
      <c r="A41" s="6" t="s">
        <v>27</v>
      </c>
      <c r="B41" s="16"/>
      <c r="C41" s="15"/>
      <c r="D41" s="16"/>
      <c r="H41" s="16"/>
      <c r="M41" s="10">
        <f t="shared" si="27"/>
        <v>0</v>
      </c>
      <c r="N41" s="10">
        <f t="shared" si="28"/>
        <v>0</v>
      </c>
      <c r="P41" s="10">
        <f t="shared" si="29"/>
        <v>0</v>
      </c>
    </row>
    <row r="42" spans="1:17" ht="30" x14ac:dyDescent="0.25">
      <c r="A42" s="6" t="s">
        <v>44</v>
      </c>
      <c r="B42" s="16"/>
      <c r="C42" s="15"/>
      <c r="D42" s="16"/>
      <c r="H42" s="16"/>
      <c r="M42" s="10">
        <f t="shared" si="27"/>
        <v>0</v>
      </c>
      <c r="N42" s="10">
        <f t="shared" si="28"/>
        <v>0</v>
      </c>
      <c r="P42" s="10">
        <f t="shared" si="29"/>
        <v>0</v>
      </c>
    </row>
    <row r="43" spans="1:17" s="27" customFormat="1" x14ac:dyDescent="0.25">
      <c r="A43" s="5" t="s">
        <v>45</v>
      </c>
      <c r="B43" s="36">
        <f>SUM(B44:B50)</f>
        <v>0</v>
      </c>
      <c r="C43" s="38">
        <f t="shared" ref="C43:O43" si="30">SUM(C44:C50)</f>
        <v>5000000</v>
      </c>
      <c r="D43" s="36">
        <f t="shared" si="30"/>
        <v>0</v>
      </c>
      <c r="E43" s="37">
        <f>SUM(E44:E50)</f>
        <v>0</v>
      </c>
      <c r="F43" s="37">
        <f t="shared" si="30"/>
        <v>0</v>
      </c>
      <c r="G43" s="37">
        <f t="shared" si="30"/>
        <v>0</v>
      </c>
      <c r="H43" s="36">
        <f t="shared" si="30"/>
        <v>0</v>
      </c>
      <c r="I43" s="37">
        <f t="shared" si="30"/>
        <v>0</v>
      </c>
      <c r="J43" s="37">
        <f t="shared" si="30"/>
        <v>0</v>
      </c>
      <c r="K43" s="37">
        <f t="shared" si="30"/>
        <v>0</v>
      </c>
      <c r="L43" s="37">
        <f t="shared" si="30"/>
        <v>0</v>
      </c>
      <c r="M43" s="37">
        <f t="shared" si="30"/>
        <v>0</v>
      </c>
      <c r="N43" s="37">
        <f t="shared" si="30"/>
        <v>0</v>
      </c>
      <c r="O43" s="37">
        <f t="shared" si="30"/>
        <v>0</v>
      </c>
      <c r="P43" s="37">
        <f>SUM(D43:O43)</f>
        <v>0</v>
      </c>
      <c r="Q43" s="11"/>
    </row>
    <row r="44" spans="1:17" x14ac:dyDescent="0.25">
      <c r="A44" s="6" t="s">
        <v>46</v>
      </c>
      <c r="B44" s="16"/>
      <c r="C44" s="15"/>
      <c r="D44" s="16"/>
      <c r="H44" s="16"/>
      <c r="M44" s="10">
        <f t="shared" ref="M44:M50" si="31">0-D44-E44-F44-G44-H44-I44-J44-K44-L44</f>
        <v>0</v>
      </c>
      <c r="N44" s="10">
        <f t="shared" si="28"/>
        <v>0</v>
      </c>
      <c r="P44" s="10">
        <f>SUM(D44:O44)</f>
        <v>0</v>
      </c>
    </row>
    <row r="45" spans="1:17" ht="30" x14ac:dyDescent="0.25">
      <c r="A45" s="6" t="s">
        <v>47</v>
      </c>
      <c r="B45" s="16"/>
      <c r="C45" s="15"/>
      <c r="D45" s="16"/>
      <c r="H45" s="16"/>
      <c r="M45" s="10">
        <f t="shared" si="31"/>
        <v>0</v>
      </c>
      <c r="N45" s="10">
        <f t="shared" si="28"/>
        <v>0</v>
      </c>
      <c r="P45" s="10">
        <f t="shared" ref="P45:P50" si="32">SUM(D45:O45)</f>
        <v>0</v>
      </c>
    </row>
    <row r="46" spans="1:17" ht="30" x14ac:dyDescent="0.25">
      <c r="A46" s="6" t="s">
        <v>48</v>
      </c>
      <c r="B46" s="16"/>
      <c r="C46" s="15"/>
      <c r="D46" s="16"/>
      <c r="H46" s="16"/>
      <c r="M46" s="10">
        <f t="shared" si="31"/>
        <v>0</v>
      </c>
      <c r="N46" s="10">
        <f t="shared" si="28"/>
        <v>0</v>
      </c>
      <c r="P46" s="10">
        <f t="shared" si="32"/>
        <v>0</v>
      </c>
    </row>
    <row r="47" spans="1:17" ht="30" x14ac:dyDescent="0.25">
      <c r="A47" s="6" t="s">
        <v>49</v>
      </c>
      <c r="B47" s="16">
        <v>0</v>
      </c>
      <c r="C47" s="15">
        <v>5000000</v>
      </c>
      <c r="D47" s="16"/>
      <c r="H47" s="16"/>
      <c r="I47" s="10">
        <f>0-D47-E47-F47-G47-H47</f>
        <v>0</v>
      </c>
      <c r="M47" s="10">
        <f t="shared" si="31"/>
        <v>0</v>
      </c>
      <c r="N47" s="10">
        <f t="shared" si="28"/>
        <v>0</v>
      </c>
      <c r="P47" s="10">
        <f t="shared" si="32"/>
        <v>0</v>
      </c>
    </row>
    <row r="48" spans="1:17" ht="30" x14ac:dyDescent="0.25">
      <c r="A48" s="6" t="s">
        <v>50</v>
      </c>
      <c r="B48" s="16"/>
      <c r="C48" s="15"/>
      <c r="D48" s="16"/>
      <c r="H48" s="16"/>
      <c r="M48" s="10">
        <f t="shared" si="31"/>
        <v>0</v>
      </c>
      <c r="N48" s="10">
        <f t="shared" si="28"/>
        <v>0</v>
      </c>
      <c r="P48" s="10">
        <f t="shared" si="32"/>
        <v>0</v>
      </c>
    </row>
    <row r="49" spans="1:17" x14ac:dyDescent="0.25">
      <c r="A49" s="6" t="s">
        <v>51</v>
      </c>
      <c r="B49" s="16"/>
      <c r="C49" s="15"/>
      <c r="D49" s="16"/>
      <c r="H49" s="16"/>
      <c r="M49" s="10">
        <f t="shared" si="31"/>
        <v>0</v>
      </c>
      <c r="N49" s="10">
        <f t="shared" si="28"/>
        <v>0</v>
      </c>
      <c r="P49" s="10">
        <f t="shared" si="32"/>
        <v>0</v>
      </c>
    </row>
    <row r="50" spans="1:17" ht="30" x14ac:dyDescent="0.25">
      <c r="A50" s="6" t="s">
        <v>52</v>
      </c>
      <c r="B50" s="16"/>
      <c r="C50" s="15"/>
      <c r="D50" s="16"/>
      <c r="H50" s="16"/>
      <c r="M50" s="10">
        <f t="shared" si="31"/>
        <v>0</v>
      </c>
      <c r="N50" s="10">
        <f t="shared" si="28"/>
        <v>0</v>
      </c>
      <c r="P50" s="10">
        <f t="shared" si="32"/>
        <v>0</v>
      </c>
    </row>
    <row r="51" spans="1:17" s="27" customFormat="1" x14ac:dyDescent="0.25">
      <c r="A51" s="5" t="s">
        <v>28</v>
      </c>
      <c r="B51" s="36">
        <f>SUM(B52:B60)</f>
        <v>943458</v>
      </c>
      <c r="C51" s="36">
        <f>SUM(C52:C60)</f>
        <v>24143458</v>
      </c>
      <c r="D51" s="36">
        <f>SUM(D52:D60)</f>
        <v>0</v>
      </c>
      <c r="E51" s="37">
        <f>SUM(E52:E60)</f>
        <v>0</v>
      </c>
      <c r="F51" s="37">
        <f t="shared" ref="F51:O51" si="33">SUM(F52:F60)</f>
        <v>721271.88</v>
      </c>
      <c r="G51" s="37">
        <f t="shared" si="33"/>
        <v>0</v>
      </c>
      <c r="H51" s="36">
        <f t="shared" si="33"/>
        <v>448755.68999999994</v>
      </c>
      <c r="I51" s="37">
        <f t="shared" si="33"/>
        <v>13350.520000000019</v>
      </c>
      <c r="J51" s="37">
        <f t="shared" si="33"/>
        <v>836074.84</v>
      </c>
      <c r="K51" s="37">
        <f t="shared" si="33"/>
        <v>400751.17999999982</v>
      </c>
      <c r="L51" s="37">
        <f t="shared" si="33"/>
        <v>0</v>
      </c>
      <c r="M51" s="37">
        <f t="shared" si="33"/>
        <v>0</v>
      </c>
      <c r="N51" s="37">
        <f t="shared" si="33"/>
        <v>0</v>
      </c>
      <c r="O51" s="37">
        <f t="shared" si="33"/>
        <v>0</v>
      </c>
      <c r="P51" s="36">
        <f>SUM(D51:O51)</f>
        <v>2420204.1099999994</v>
      </c>
      <c r="Q51" s="43"/>
    </row>
    <row r="52" spans="1:17" x14ac:dyDescent="0.25">
      <c r="A52" s="6" t="s">
        <v>29</v>
      </c>
      <c r="B52" s="39">
        <v>915000</v>
      </c>
      <c r="C52" s="39">
        <v>9815000</v>
      </c>
      <c r="D52" s="16"/>
      <c r="F52" s="10">
        <f>697471.89-D52-E52</f>
        <v>697471.89</v>
      </c>
      <c r="G52" s="10">
        <f>697471.89-D52-E52-F52</f>
        <v>0</v>
      </c>
      <c r="H52" s="16">
        <f>761327.59-D52-E52-F52-G52</f>
        <v>63855.699999999953</v>
      </c>
      <c r="I52" s="10">
        <f>765828.11-D52-E52-F52-G52-H52</f>
        <v>4500.5200000000186</v>
      </c>
      <c r="J52" s="10">
        <f>1594822.95-D52-E52-F52-G52-H52-I52</f>
        <v>828994.84</v>
      </c>
      <c r="K52" s="15">
        <f>1995574.13-D52-E52-F52-G52-H52-I52-J52</f>
        <v>400751.17999999982</v>
      </c>
      <c r="L52" s="15">
        <f>1995574.13-D52-E52-F52-G52-H52-I52-J52-K52</f>
        <v>0</v>
      </c>
      <c r="M52" s="10">
        <f>1995574.13-D52-E52-F52-G52-H52-I52-J52-K52-L52</f>
        <v>0</v>
      </c>
      <c r="P52" s="10">
        <f>SUM(D52:O52)</f>
        <v>1995574.13</v>
      </c>
    </row>
    <row r="53" spans="1:17" ht="30" x14ac:dyDescent="0.25">
      <c r="A53" s="6" t="s">
        <v>30</v>
      </c>
      <c r="B53" s="39"/>
      <c r="C53" s="35">
        <v>400000</v>
      </c>
      <c r="D53" s="16"/>
      <c r="F53" s="10">
        <f>23799.99-D53-E53</f>
        <v>23799.99</v>
      </c>
      <c r="G53" s="10">
        <f>23799.99-D53-E53-F53</f>
        <v>0</v>
      </c>
      <c r="H53" s="16">
        <f>23799.99-D53-E53-F53-G53</f>
        <v>0</v>
      </c>
      <c r="I53" s="10">
        <f>23799.99-D53-E53-F53-G53-H53</f>
        <v>0</v>
      </c>
      <c r="J53" s="10">
        <f>23799.99-D53-E53-F53-G53-H53-I53</f>
        <v>0</v>
      </c>
      <c r="K53" s="15">
        <f>23799.99-D53-E53-F53-G53-H53-I53-J53</f>
        <v>0</v>
      </c>
      <c r="L53" s="15">
        <f>23799.99-D53-E53-F53-G53-H53-I53-J53-K53</f>
        <v>0</v>
      </c>
      <c r="M53" s="10">
        <f>23799.99-D53-E53-F53-G53-H53-I53-J53-K53-L53</f>
        <v>0</v>
      </c>
      <c r="P53" s="10">
        <f t="shared" ref="P53:P59" si="34">SUM(D53:O53)</f>
        <v>23799.99</v>
      </c>
    </row>
    <row r="54" spans="1:17" ht="30" x14ac:dyDescent="0.25">
      <c r="A54" s="6" t="s">
        <v>31</v>
      </c>
      <c r="B54" s="39">
        <v>0</v>
      </c>
      <c r="C54" s="35">
        <v>0</v>
      </c>
      <c r="D54" s="16"/>
      <c r="F54" s="10">
        <f t="shared" ref="F54:F60" si="35">0-D54-E54</f>
        <v>0</v>
      </c>
      <c r="G54" s="10">
        <f t="shared" ref="G54:G60" si="36">0-D54-E54-F54</f>
        <v>0</v>
      </c>
      <c r="H54" s="16">
        <f t="shared" ref="H54:H60" si="37">0-D54-E54-F54-G54</f>
        <v>0</v>
      </c>
      <c r="I54" s="10">
        <f t="shared" ref="I54:I60" si="38">0-D54-E54-F54-G54-H54</f>
        <v>0</v>
      </c>
      <c r="J54" s="10">
        <f t="shared" ref="J54:J60" si="39">0-D54-E54-F54-G54-H54-I54</f>
        <v>0</v>
      </c>
      <c r="K54" s="15">
        <f t="shared" ref="K54:K60" si="40">0-D54-E54-F54-G54-H54-I54-J54</f>
        <v>0</v>
      </c>
      <c r="L54" s="15">
        <f t="shared" ref="L54:L60" si="41">0-D54-E54-F54-G54-H54-I54-J54-K54</f>
        <v>0</v>
      </c>
      <c r="M54" s="10">
        <f t="shared" ref="M54:M60" si="42">0-D54-E54-F54-G54-H54-I54-J54-K54-L54</f>
        <v>0</v>
      </c>
      <c r="P54" s="10">
        <f t="shared" si="34"/>
        <v>0</v>
      </c>
    </row>
    <row r="55" spans="1:17" ht="30" x14ac:dyDescent="0.25">
      <c r="A55" s="6" t="s">
        <v>32</v>
      </c>
      <c r="B55" s="39">
        <v>0</v>
      </c>
      <c r="C55" s="35">
        <v>450000</v>
      </c>
      <c r="D55" s="16"/>
      <c r="F55" s="10">
        <f t="shared" si="35"/>
        <v>0</v>
      </c>
      <c r="G55" s="10">
        <f t="shared" si="36"/>
        <v>0</v>
      </c>
      <c r="H55" s="16">
        <f>384899.99-D55-E55-F55-G55</f>
        <v>384899.99</v>
      </c>
      <c r="I55" s="10">
        <f>384899.99-D55-E55-F55-G55-H55</f>
        <v>0</v>
      </c>
      <c r="J55" s="10">
        <f>384899.99-D55-E55-F55-G55-H55-I55</f>
        <v>0</v>
      </c>
      <c r="K55" s="15">
        <f>384899.99-D55-E55-F55-G55-H55-I55-J55</f>
        <v>0</v>
      </c>
      <c r="L55" s="15">
        <f>384899.99-D55-E55-F55-G55-H55-I55-J55-K55</f>
        <v>0</v>
      </c>
      <c r="M55" s="10">
        <f>384899.99-D55-E55-F55-G55-H55-I55-J55-K55-L55</f>
        <v>0</v>
      </c>
      <c r="P55" s="10">
        <f t="shared" si="34"/>
        <v>384899.99</v>
      </c>
    </row>
    <row r="56" spans="1:17" x14ac:dyDescent="0.25">
      <c r="A56" s="6" t="s">
        <v>33</v>
      </c>
      <c r="B56" s="39">
        <v>28458</v>
      </c>
      <c r="C56" s="39">
        <v>2978458</v>
      </c>
      <c r="D56" s="16"/>
      <c r="F56" s="10">
        <f t="shared" si="35"/>
        <v>0</v>
      </c>
      <c r="G56" s="10">
        <f t="shared" si="36"/>
        <v>0</v>
      </c>
      <c r="H56" s="16">
        <f t="shared" si="37"/>
        <v>0</v>
      </c>
      <c r="I56" s="10">
        <f>8850-D56-E56-F56-G56-H56</f>
        <v>8850</v>
      </c>
      <c r="J56" s="10">
        <f>8850-D56-E56-F56-G56-H56-I56</f>
        <v>0</v>
      </c>
      <c r="K56" s="15">
        <f>8850-D56-E56-F56-G56-H56-I56-J56</f>
        <v>0</v>
      </c>
      <c r="L56" s="15">
        <f>8850-D56-E56-F56-G56-H56-I56-J56-K56</f>
        <v>0</v>
      </c>
      <c r="M56" s="10">
        <f>8850-D56-E56-F56-G56-H56-I56-J56-K56-L56</f>
        <v>0</v>
      </c>
      <c r="P56" s="10">
        <f t="shared" si="34"/>
        <v>8850</v>
      </c>
    </row>
    <row r="57" spans="1:17" x14ac:dyDescent="0.25">
      <c r="A57" s="6" t="s">
        <v>53</v>
      </c>
      <c r="B57" s="39">
        <v>0</v>
      </c>
      <c r="C57" s="35">
        <v>1500000</v>
      </c>
      <c r="D57" s="16"/>
      <c r="F57" s="10">
        <f t="shared" si="35"/>
        <v>0</v>
      </c>
      <c r="G57" s="10">
        <f t="shared" si="36"/>
        <v>0</v>
      </c>
      <c r="H57" s="16">
        <f t="shared" si="37"/>
        <v>0</v>
      </c>
      <c r="I57" s="10">
        <f t="shared" si="38"/>
        <v>0</v>
      </c>
      <c r="J57" s="10">
        <f>7080-D57-E57-F57-G57-H57-I57</f>
        <v>7080</v>
      </c>
      <c r="K57" s="15">
        <f>7080-D57-E57-F57-G57-H57-I57-J57</f>
        <v>0</v>
      </c>
      <c r="L57" s="15">
        <f>7080-D57-E57-F57-G57-H57-I57-J57-K57</f>
        <v>0</v>
      </c>
      <c r="M57" s="10">
        <f>7080-D57-E57-F57-G57-H57-I57-J57-K57-L57</f>
        <v>0</v>
      </c>
      <c r="P57" s="10">
        <f t="shared" si="34"/>
        <v>7080</v>
      </c>
    </row>
    <row r="58" spans="1:17" x14ac:dyDescent="0.25">
      <c r="A58" s="6" t="s">
        <v>54</v>
      </c>
      <c r="B58" s="39">
        <v>0</v>
      </c>
      <c r="C58" s="35">
        <v>0</v>
      </c>
      <c r="D58" s="16"/>
      <c r="F58" s="10">
        <f t="shared" si="35"/>
        <v>0</v>
      </c>
      <c r="G58" s="10">
        <f t="shared" si="36"/>
        <v>0</v>
      </c>
      <c r="H58" s="16">
        <f t="shared" si="37"/>
        <v>0</v>
      </c>
      <c r="I58" s="10">
        <f t="shared" si="38"/>
        <v>0</v>
      </c>
      <c r="J58" s="10">
        <f t="shared" si="39"/>
        <v>0</v>
      </c>
      <c r="K58" s="15">
        <f t="shared" si="40"/>
        <v>0</v>
      </c>
      <c r="L58" s="15">
        <f t="shared" si="41"/>
        <v>0</v>
      </c>
      <c r="M58" s="10">
        <f t="shared" si="42"/>
        <v>0</v>
      </c>
      <c r="P58" s="10">
        <f t="shared" si="34"/>
        <v>0</v>
      </c>
    </row>
    <row r="59" spans="1:17" x14ac:dyDescent="0.25">
      <c r="A59" s="6" t="s">
        <v>34</v>
      </c>
      <c r="B59" s="39"/>
      <c r="C59" s="35">
        <v>7000000</v>
      </c>
      <c r="D59" s="16"/>
      <c r="F59" s="10">
        <f t="shared" si="35"/>
        <v>0</v>
      </c>
      <c r="G59" s="10">
        <f t="shared" si="36"/>
        <v>0</v>
      </c>
      <c r="H59" s="16">
        <f t="shared" si="37"/>
        <v>0</v>
      </c>
      <c r="I59" s="10">
        <f t="shared" si="38"/>
        <v>0</v>
      </c>
      <c r="J59" s="10">
        <f t="shared" si="39"/>
        <v>0</v>
      </c>
      <c r="K59" s="15">
        <f t="shared" si="40"/>
        <v>0</v>
      </c>
      <c r="L59" s="15">
        <f t="shared" si="41"/>
        <v>0</v>
      </c>
      <c r="M59" s="10">
        <f t="shared" si="42"/>
        <v>0</v>
      </c>
      <c r="P59" s="10">
        <f t="shared" si="34"/>
        <v>0</v>
      </c>
    </row>
    <row r="60" spans="1:17" ht="30" x14ac:dyDescent="0.25">
      <c r="A60" s="6" t="s">
        <v>55</v>
      </c>
      <c r="B60" s="39">
        <v>0</v>
      </c>
      <c r="C60" s="35">
        <v>2000000</v>
      </c>
      <c r="D60" s="16"/>
      <c r="F60" s="10">
        <f t="shared" si="35"/>
        <v>0</v>
      </c>
      <c r="G60" s="10">
        <f t="shared" si="36"/>
        <v>0</v>
      </c>
      <c r="H60" s="16">
        <f t="shared" si="37"/>
        <v>0</v>
      </c>
      <c r="I60" s="10">
        <f t="shared" si="38"/>
        <v>0</v>
      </c>
      <c r="J60" s="10">
        <f t="shared" si="39"/>
        <v>0</v>
      </c>
      <c r="K60" s="15">
        <f t="shared" si="40"/>
        <v>0</v>
      </c>
      <c r="L60" s="15">
        <f t="shared" si="41"/>
        <v>0</v>
      </c>
      <c r="M60" s="10">
        <f t="shared" si="42"/>
        <v>0</v>
      </c>
      <c r="P60" s="10">
        <f>SUM(D60:O60)</f>
        <v>0</v>
      </c>
    </row>
    <row r="61" spans="1:17" s="27" customFormat="1" x14ac:dyDescent="0.25">
      <c r="A61" s="5" t="s">
        <v>56</v>
      </c>
      <c r="B61" s="36">
        <f>SUM(B62:B65)</f>
        <v>0</v>
      </c>
      <c r="C61" s="38">
        <f t="shared" ref="C61:D61" si="43">SUM(C62:C65)</f>
        <v>0</v>
      </c>
      <c r="D61" s="36">
        <f t="shared" si="43"/>
        <v>0</v>
      </c>
      <c r="E61" s="37">
        <f>SUM(E62:E65)</f>
        <v>0</v>
      </c>
      <c r="F61" s="37">
        <f t="shared" ref="F61:O61" si="44">SUM(F62:F65)</f>
        <v>0</v>
      </c>
      <c r="G61" s="37">
        <f t="shared" si="44"/>
        <v>0</v>
      </c>
      <c r="H61" s="36">
        <f t="shared" si="44"/>
        <v>0</v>
      </c>
      <c r="I61" s="37">
        <f t="shared" si="44"/>
        <v>0</v>
      </c>
      <c r="J61" s="37">
        <f t="shared" si="44"/>
        <v>0</v>
      </c>
      <c r="K61" s="37">
        <f t="shared" si="44"/>
        <v>0</v>
      </c>
      <c r="L61" s="37">
        <f t="shared" si="44"/>
        <v>0</v>
      </c>
      <c r="M61" s="37">
        <f t="shared" si="44"/>
        <v>0</v>
      </c>
      <c r="N61" s="37">
        <f t="shared" si="44"/>
        <v>0</v>
      </c>
      <c r="O61" s="37">
        <f t="shared" si="44"/>
        <v>0</v>
      </c>
      <c r="P61" s="37">
        <f>SUM(D61:O61)</f>
        <v>0</v>
      </c>
      <c r="Q61" s="11"/>
    </row>
    <row r="62" spans="1:17" x14ac:dyDescent="0.25">
      <c r="A62" s="6" t="s">
        <v>57</v>
      </c>
      <c r="B62" s="16"/>
      <c r="C62" s="15"/>
      <c r="D62" s="16"/>
      <c r="H62" s="16"/>
      <c r="M62" s="10">
        <f t="shared" ref="M62:M65" si="45">0-D62-E62-F62-G62-H62-I62-J62-K62-L62</f>
        <v>0</v>
      </c>
      <c r="P62" s="10">
        <f>SUM(D62:O62)</f>
        <v>0</v>
      </c>
    </row>
    <row r="63" spans="1:17" x14ac:dyDescent="0.25">
      <c r="A63" s="6" t="s">
        <v>58</v>
      </c>
      <c r="B63" s="16">
        <v>0</v>
      </c>
      <c r="C63" s="15">
        <v>0</v>
      </c>
      <c r="D63" s="16"/>
      <c r="H63" s="16"/>
      <c r="M63" s="10">
        <f t="shared" si="45"/>
        <v>0</v>
      </c>
      <c r="P63" s="10">
        <f t="shared" ref="P63:P65" si="46">SUM(D63:O63)</f>
        <v>0</v>
      </c>
    </row>
    <row r="64" spans="1:17" x14ac:dyDescent="0.25">
      <c r="A64" s="6" t="s">
        <v>59</v>
      </c>
      <c r="B64" s="16">
        <v>0</v>
      </c>
      <c r="C64" s="15">
        <v>0</v>
      </c>
      <c r="D64" s="16"/>
      <c r="H64" s="16"/>
      <c r="M64" s="10">
        <f t="shared" si="45"/>
        <v>0</v>
      </c>
      <c r="P64" s="10">
        <f t="shared" si="46"/>
        <v>0</v>
      </c>
    </row>
    <row r="65" spans="1:17" ht="30" x14ac:dyDescent="0.25">
      <c r="A65" s="6" t="s">
        <v>60</v>
      </c>
      <c r="B65" s="16">
        <v>0</v>
      </c>
      <c r="C65" s="15">
        <v>0</v>
      </c>
      <c r="D65" s="16"/>
      <c r="H65" s="16"/>
      <c r="M65" s="10">
        <f t="shared" si="45"/>
        <v>0</v>
      </c>
      <c r="P65" s="10">
        <f t="shared" si="46"/>
        <v>0</v>
      </c>
    </row>
    <row r="66" spans="1:17" s="27" customFormat="1" ht="30" x14ac:dyDescent="0.25">
      <c r="A66" s="5" t="s">
        <v>61</v>
      </c>
      <c r="B66" s="36">
        <f>SUM(B67:B68)</f>
        <v>0</v>
      </c>
      <c r="C66" s="38">
        <f t="shared" ref="C66:O66" si="47">SUM(C67:C68)</f>
        <v>0</v>
      </c>
      <c r="D66" s="36">
        <f t="shared" si="47"/>
        <v>0</v>
      </c>
      <c r="E66" s="37">
        <f>SUM(E67:E68)</f>
        <v>0</v>
      </c>
      <c r="F66" s="37">
        <f t="shared" si="47"/>
        <v>0</v>
      </c>
      <c r="G66" s="37">
        <f t="shared" si="47"/>
        <v>0</v>
      </c>
      <c r="H66" s="36">
        <f t="shared" si="47"/>
        <v>0</v>
      </c>
      <c r="I66" s="37">
        <f t="shared" si="47"/>
        <v>0</v>
      </c>
      <c r="J66" s="37">
        <f t="shared" si="47"/>
        <v>0</v>
      </c>
      <c r="K66" s="37">
        <f t="shared" si="47"/>
        <v>0</v>
      </c>
      <c r="L66" s="37">
        <f t="shared" si="47"/>
        <v>0</v>
      </c>
      <c r="M66" s="37">
        <f t="shared" si="47"/>
        <v>0</v>
      </c>
      <c r="N66" s="37">
        <f t="shared" si="47"/>
        <v>0</v>
      </c>
      <c r="O66" s="37">
        <f t="shared" si="47"/>
        <v>0</v>
      </c>
      <c r="P66" s="37">
        <f>SUM(D66:O66)</f>
        <v>0</v>
      </c>
      <c r="Q66" s="11"/>
    </row>
    <row r="67" spans="1:17" x14ac:dyDescent="0.25">
      <c r="A67" s="6" t="s">
        <v>62</v>
      </c>
      <c r="B67" s="16">
        <v>0</v>
      </c>
      <c r="C67" s="15">
        <v>0</v>
      </c>
      <c r="D67" s="16">
        <v>0</v>
      </c>
      <c r="H67" s="16"/>
      <c r="M67" s="10">
        <f t="shared" ref="M67:M72" si="48">0-D67-E67-F67-G67-H67-I67-J67-K67-L67</f>
        <v>0</v>
      </c>
      <c r="N67" s="10">
        <f t="shared" si="28"/>
        <v>0</v>
      </c>
      <c r="P67" s="10">
        <f>SUM(D67:O67)</f>
        <v>0</v>
      </c>
    </row>
    <row r="68" spans="1:17" ht="30" x14ac:dyDescent="0.25">
      <c r="A68" s="6" t="s">
        <v>63</v>
      </c>
      <c r="B68" s="16">
        <v>0</v>
      </c>
      <c r="C68" s="15"/>
      <c r="D68" s="16">
        <v>0</v>
      </c>
      <c r="H68" s="16"/>
      <c r="M68" s="10">
        <f t="shared" si="48"/>
        <v>0</v>
      </c>
      <c r="N68" s="10">
        <f t="shared" si="28"/>
        <v>0</v>
      </c>
      <c r="P68" s="10">
        <f t="shared" ref="P68:P72" si="49">SUM(D68:O68)</f>
        <v>0</v>
      </c>
    </row>
    <row r="69" spans="1:17" s="27" customFormat="1" x14ac:dyDescent="0.25">
      <c r="A69" s="5" t="s">
        <v>64</v>
      </c>
      <c r="B69" s="13">
        <f>SUM(B70:B72)</f>
        <v>0</v>
      </c>
      <c r="C69" s="14">
        <f t="shared" ref="C69:O69" si="50">SUM(C70:C72)</f>
        <v>0</v>
      </c>
      <c r="D69" s="13">
        <f t="shared" si="50"/>
        <v>0</v>
      </c>
      <c r="E69" s="11">
        <f>SUM(E70:E72)</f>
        <v>0</v>
      </c>
      <c r="F69" s="11">
        <f t="shared" si="50"/>
        <v>0</v>
      </c>
      <c r="G69" s="11">
        <f t="shared" si="50"/>
        <v>0</v>
      </c>
      <c r="H69" s="13">
        <f t="shared" si="50"/>
        <v>0</v>
      </c>
      <c r="I69" s="11">
        <f t="shared" si="50"/>
        <v>0</v>
      </c>
      <c r="J69" s="11">
        <f t="shared" si="50"/>
        <v>0</v>
      </c>
      <c r="K69" s="11">
        <f t="shared" si="50"/>
        <v>0</v>
      </c>
      <c r="L69" s="11">
        <f t="shared" si="50"/>
        <v>0</v>
      </c>
      <c r="M69" s="11">
        <f t="shared" si="48"/>
        <v>0</v>
      </c>
      <c r="N69" s="11">
        <f t="shared" si="50"/>
        <v>0</v>
      </c>
      <c r="O69" s="11">
        <f t="shared" si="50"/>
        <v>0</v>
      </c>
      <c r="P69" s="11">
        <f t="shared" si="49"/>
        <v>0</v>
      </c>
      <c r="Q69" s="11"/>
    </row>
    <row r="70" spans="1:17" x14ac:dyDescent="0.25">
      <c r="A70" s="6" t="s">
        <v>65</v>
      </c>
      <c r="B70" s="16">
        <v>0</v>
      </c>
      <c r="C70" s="15">
        <v>0</v>
      </c>
      <c r="D70" s="16">
        <v>0</v>
      </c>
      <c r="H70" s="16"/>
      <c r="M70" s="10">
        <f t="shared" si="48"/>
        <v>0</v>
      </c>
      <c r="N70" s="10">
        <f t="shared" si="28"/>
        <v>0</v>
      </c>
      <c r="P70" s="10">
        <f t="shared" si="49"/>
        <v>0</v>
      </c>
    </row>
    <row r="71" spans="1:17" x14ac:dyDescent="0.25">
      <c r="A71" s="6" t="s">
        <v>66</v>
      </c>
      <c r="B71" s="16">
        <v>0</v>
      </c>
      <c r="C71" s="15">
        <v>0</v>
      </c>
      <c r="D71" s="16">
        <v>0</v>
      </c>
      <c r="H71" s="16"/>
      <c r="M71" s="10">
        <f t="shared" si="48"/>
        <v>0</v>
      </c>
      <c r="N71" s="10">
        <f t="shared" si="28"/>
        <v>0</v>
      </c>
      <c r="P71" s="10">
        <f t="shared" si="49"/>
        <v>0</v>
      </c>
    </row>
    <row r="72" spans="1:17" ht="30" x14ac:dyDescent="0.25">
      <c r="A72" s="6" t="s">
        <v>67</v>
      </c>
      <c r="B72" s="16">
        <v>0</v>
      </c>
      <c r="C72" s="15">
        <v>0</v>
      </c>
      <c r="D72" s="16">
        <v>0</v>
      </c>
      <c r="H72" s="16"/>
      <c r="M72" s="10">
        <f t="shared" si="48"/>
        <v>0</v>
      </c>
      <c r="N72" s="10">
        <f t="shared" si="28"/>
        <v>0</v>
      </c>
      <c r="P72" s="10">
        <f t="shared" si="49"/>
        <v>0</v>
      </c>
    </row>
    <row r="73" spans="1:17" x14ac:dyDescent="0.25">
      <c r="A73" s="7" t="s">
        <v>35</v>
      </c>
      <c r="B73" s="17">
        <f>SUM(B9,B15,B25,B35,B43,B51,B61,B66,B69)</f>
        <v>354000000</v>
      </c>
      <c r="C73" s="17">
        <f t="shared" ref="C73:O73" si="51">SUM(C9,C15,C25,C35,C43,C51,C61,C66,C69)</f>
        <v>471119128.90999997</v>
      </c>
      <c r="D73" s="17">
        <f t="shared" si="51"/>
        <v>11851531.859999999</v>
      </c>
      <c r="E73" s="18">
        <f t="shared" si="51"/>
        <v>14871649.939999999</v>
      </c>
      <c r="F73" s="18">
        <f t="shared" si="51"/>
        <v>21584749.810000002</v>
      </c>
      <c r="G73" s="18">
        <f t="shared" si="51"/>
        <v>17856496.849999994</v>
      </c>
      <c r="H73" s="17">
        <f t="shared" si="51"/>
        <v>29572680.489999998</v>
      </c>
      <c r="I73" s="18">
        <f t="shared" si="51"/>
        <v>21326420.640000001</v>
      </c>
      <c r="J73" s="18">
        <f t="shared" si="51"/>
        <v>22265664.859999992</v>
      </c>
      <c r="K73" s="18">
        <f t="shared" si="51"/>
        <v>22985337.440000001</v>
      </c>
      <c r="L73" s="18">
        <f t="shared" si="51"/>
        <v>26904352.48</v>
      </c>
      <c r="M73" s="18">
        <f t="shared" si="51"/>
        <v>45069730.420000009</v>
      </c>
      <c r="N73" s="18">
        <f t="shared" si="51"/>
        <v>0</v>
      </c>
      <c r="O73" s="18">
        <f t="shared" si="51"/>
        <v>0</v>
      </c>
      <c r="P73" s="18">
        <f>SUM(D73:O73)</f>
        <v>234288614.78999999</v>
      </c>
      <c r="Q73" s="45"/>
    </row>
    <row r="74" spans="1:17" ht="9" customHeight="1" x14ac:dyDescent="0.25">
      <c r="A74" s="8"/>
      <c r="B74" s="16"/>
      <c r="C74" s="15"/>
      <c r="D74" s="16"/>
      <c r="H74" s="16"/>
      <c r="M74" s="10">
        <f t="shared" ref="M74:M83" si="52">0-D74-E74-F74-G74-H74-I74-J74-K74-L74</f>
        <v>0</v>
      </c>
    </row>
    <row r="75" spans="1:17" ht="19.5" customHeight="1" x14ac:dyDescent="0.25">
      <c r="A75" s="4" t="s">
        <v>68</v>
      </c>
      <c r="B75" s="12">
        <f>SUM(B76,B79,B82)</f>
        <v>0</v>
      </c>
      <c r="C75" s="12">
        <f t="shared" ref="C75:O75" si="53">SUM(C76,C79,C82)</f>
        <v>0</v>
      </c>
      <c r="D75" s="12">
        <f t="shared" si="53"/>
        <v>0</v>
      </c>
      <c r="E75" s="19">
        <f t="shared" si="53"/>
        <v>0</v>
      </c>
      <c r="F75" s="19">
        <f t="shared" si="53"/>
        <v>0</v>
      </c>
      <c r="G75" s="19">
        <f t="shared" si="53"/>
        <v>0</v>
      </c>
      <c r="H75" s="12">
        <f t="shared" si="53"/>
        <v>0</v>
      </c>
      <c r="I75" s="19">
        <f t="shared" si="53"/>
        <v>0</v>
      </c>
      <c r="J75" s="19">
        <f t="shared" si="53"/>
        <v>0</v>
      </c>
      <c r="K75" s="19">
        <f t="shared" si="53"/>
        <v>0</v>
      </c>
      <c r="L75" s="19">
        <f t="shared" si="53"/>
        <v>0</v>
      </c>
      <c r="M75" s="19">
        <f t="shared" si="52"/>
        <v>0</v>
      </c>
      <c r="N75" s="19">
        <f t="shared" si="53"/>
        <v>0</v>
      </c>
      <c r="O75" s="19">
        <f t="shared" si="53"/>
        <v>0</v>
      </c>
      <c r="P75" s="19">
        <f>SUM(D75:O75)</f>
        <v>0</v>
      </c>
      <c r="Q75" s="45"/>
    </row>
    <row r="76" spans="1:17" x14ac:dyDescent="0.25">
      <c r="A76" s="5" t="s">
        <v>69</v>
      </c>
      <c r="B76" s="13">
        <f>SUM(B77:B78)</f>
        <v>0</v>
      </c>
      <c r="C76" s="15">
        <f t="shared" ref="C76:O76" si="54">SUM(C77:C78)</f>
        <v>0</v>
      </c>
      <c r="D76" s="13">
        <f t="shared" si="54"/>
        <v>0</v>
      </c>
      <c r="E76" s="10">
        <f t="shared" si="54"/>
        <v>0</v>
      </c>
      <c r="F76" s="10">
        <f t="shared" si="54"/>
        <v>0</v>
      </c>
      <c r="G76" s="10">
        <f t="shared" si="54"/>
        <v>0</v>
      </c>
      <c r="H76" s="13">
        <f t="shared" si="54"/>
        <v>0</v>
      </c>
      <c r="I76" s="10">
        <f t="shared" si="54"/>
        <v>0</v>
      </c>
      <c r="J76" s="10">
        <f t="shared" si="54"/>
        <v>0</v>
      </c>
      <c r="K76" s="10">
        <f t="shared" si="54"/>
        <v>0</v>
      </c>
      <c r="L76" s="10">
        <f t="shared" si="54"/>
        <v>0</v>
      </c>
      <c r="M76" s="10">
        <f t="shared" si="52"/>
        <v>0</v>
      </c>
      <c r="N76" s="10">
        <f t="shared" si="54"/>
        <v>0</v>
      </c>
      <c r="O76" s="10">
        <f t="shared" si="54"/>
        <v>0</v>
      </c>
      <c r="P76" s="11">
        <f>SUM(D76:O76)</f>
        <v>0</v>
      </c>
      <c r="Q76" s="11"/>
    </row>
    <row r="77" spans="1:17" ht="30" x14ac:dyDescent="0.25">
      <c r="A77" s="6" t="s">
        <v>70</v>
      </c>
      <c r="B77" s="13">
        <v>0</v>
      </c>
      <c r="C77" s="15">
        <v>0</v>
      </c>
      <c r="D77" s="16">
        <v>0</v>
      </c>
      <c r="E77" s="10">
        <v>0</v>
      </c>
      <c r="F77" s="10">
        <v>0</v>
      </c>
      <c r="G77" s="10">
        <v>0</v>
      </c>
      <c r="H77" s="16">
        <v>0</v>
      </c>
      <c r="I77" s="10">
        <v>0</v>
      </c>
      <c r="J77" s="10">
        <v>0</v>
      </c>
      <c r="K77" s="10">
        <v>0</v>
      </c>
      <c r="L77" s="10">
        <v>0</v>
      </c>
      <c r="M77" s="10">
        <f t="shared" si="52"/>
        <v>0</v>
      </c>
      <c r="N77" s="10">
        <v>0</v>
      </c>
      <c r="O77" s="10">
        <v>0</v>
      </c>
      <c r="P77" s="10">
        <f>SUM(D77:O77)</f>
        <v>0</v>
      </c>
    </row>
    <row r="78" spans="1:17" ht="30" x14ac:dyDescent="0.25">
      <c r="A78" s="6" t="s">
        <v>71</v>
      </c>
      <c r="B78" s="16"/>
      <c r="C78" s="15"/>
      <c r="D78" s="16"/>
      <c r="H78" s="16"/>
      <c r="M78" s="10">
        <f t="shared" si="52"/>
        <v>0</v>
      </c>
      <c r="P78" s="10">
        <f t="shared" ref="P78:P81" si="55">SUM(D78:O78)</f>
        <v>0</v>
      </c>
    </row>
    <row r="79" spans="1:17" x14ac:dyDescent="0.25">
      <c r="A79" s="5" t="s">
        <v>72</v>
      </c>
      <c r="B79" s="13">
        <f>SUM(B80:B81)</f>
        <v>0</v>
      </c>
      <c r="C79" s="15">
        <f t="shared" ref="C79:O79" si="56">SUM(C80:C81)</f>
        <v>0</v>
      </c>
      <c r="D79" s="13">
        <f t="shared" si="56"/>
        <v>0</v>
      </c>
      <c r="E79" s="10">
        <f t="shared" si="56"/>
        <v>0</v>
      </c>
      <c r="F79" s="10">
        <f t="shared" si="56"/>
        <v>0</v>
      </c>
      <c r="G79" s="10">
        <f t="shared" si="56"/>
        <v>0</v>
      </c>
      <c r="H79" s="13">
        <f t="shared" si="56"/>
        <v>0</v>
      </c>
      <c r="I79" s="10">
        <f t="shared" si="56"/>
        <v>0</v>
      </c>
      <c r="J79" s="10">
        <f t="shared" si="56"/>
        <v>0</v>
      </c>
      <c r="K79" s="10">
        <f t="shared" si="56"/>
        <v>0</v>
      </c>
      <c r="L79" s="10">
        <f t="shared" si="56"/>
        <v>0</v>
      </c>
      <c r="M79" s="10">
        <f t="shared" si="52"/>
        <v>0</v>
      </c>
      <c r="N79" s="10">
        <f t="shared" si="56"/>
        <v>0</v>
      </c>
      <c r="O79" s="10">
        <f t="shared" si="56"/>
        <v>0</v>
      </c>
      <c r="P79" s="10">
        <f t="shared" si="55"/>
        <v>0</v>
      </c>
    </row>
    <row r="80" spans="1:17" x14ac:dyDescent="0.25">
      <c r="A80" s="6" t="s">
        <v>73</v>
      </c>
      <c r="B80" s="16"/>
      <c r="C80" s="15"/>
      <c r="D80" s="16"/>
      <c r="H80" s="16"/>
      <c r="M80" s="10">
        <f t="shared" si="52"/>
        <v>0</v>
      </c>
      <c r="P80" s="10">
        <f t="shared" si="55"/>
        <v>0</v>
      </c>
    </row>
    <row r="81" spans="1:17" x14ac:dyDescent="0.25">
      <c r="A81" s="6" t="s">
        <v>74</v>
      </c>
      <c r="B81" s="16"/>
      <c r="C81" s="15"/>
      <c r="D81" s="16"/>
      <c r="H81" s="16"/>
      <c r="M81" s="10">
        <f t="shared" si="52"/>
        <v>0</v>
      </c>
      <c r="P81" s="10">
        <f t="shared" si="55"/>
        <v>0</v>
      </c>
    </row>
    <row r="82" spans="1:17" x14ac:dyDescent="0.25">
      <c r="A82" s="5" t="s">
        <v>75</v>
      </c>
      <c r="B82" s="13">
        <f>SUM(B83)</f>
        <v>0</v>
      </c>
      <c r="C82" s="15">
        <f t="shared" ref="C82:O82" si="57">SUM(C83)</f>
        <v>0</v>
      </c>
      <c r="D82" s="13">
        <f t="shared" si="57"/>
        <v>0</v>
      </c>
      <c r="E82" s="10">
        <f t="shared" si="57"/>
        <v>0</v>
      </c>
      <c r="F82" s="10">
        <f t="shared" si="57"/>
        <v>0</v>
      </c>
      <c r="G82" s="10">
        <f t="shared" si="57"/>
        <v>0</v>
      </c>
      <c r="H82" s="13">
        <f t="shared" si="57"/>
        <v>0</v>
      </c>
      <c r="I82" s="10">
        <f t="shared" si="57"/>
        <v>0</v>
      </c>
      <c r="J82" s="10">
        <f t="shared" si="57"/>
        <v>0</v>
      </c>
      <c r="K82" s="10">
        <f t="shared" si="57"/>
        <v>0</v>
      </c>
      <c r="L82" s="10">
        <f t="shared" si="57"/>
        <v>0</v>
      </c>
      <c r="M82" s="10">
        <f t="shared" si="52"/>
        <v>0</v>
      </c>
      <c r="N82" s="10">
        <f t="shared" si="57"/>
        <v>0</v>
      </c>
      <c r="O82" s="10">
        <f t="shared" si="57"/>
        <v>0</v>
      </c>
      <c r="P82" s="11">
        <f>SUM(D82:O82)</f>
        <v>0</v>
      </c>
      <c r="Q82" s="11"/>
    </row>
    <row r="83" spans="1:17" x14ac:dyDescent="0.25">
      <c r="A83" s="6" t="s">
        <v>76</v>
      </c>
      <c r="B83" s="16"/>
      <c r="C83" s="15"/>
      <c r="D83" s="16"/>
      <c r="H83" s="16"/>
      <c r="M83" s="10">
        <f t="shared" si="52"/>
        <v>0</v>
      </c>
      <c r="P83" s="10">
        <f>SUM(D83:O83)</f>
        <v>0</v>
      </c>
    </row>
    <row r="84" spans="1:17" x14ac:dyDescent="0.25">
      <c r="A84" s="7" t="s">
        <v>77</v>
      </c>
      <c r="B84" s="17">
        <f>SUM(B76,B79,B82)</f>
        <v>0</v>
      </c>
      <c r="C84" s="17">
        <f t="shared" ref="C84:O84" si="58">SUM(C76,C79,C82)</f>
        <v>0</v>
      </c>
      <c r="D84" s="17">
        <f t="shared" si="58"/>
        <v>0</v>
      </c>
      <c r="E84" s="18">
        <f t="shared" si="58"/>
        <v>0</v>
      </c>
      <c r="F84" s="18">
        <f t="shared" si="58"/>
        <v>0</v>
      </c>
      <c r="G84" s="18">
        <f t="shared" si="58"/>
        <v>0</v>
      </c>
      <c r="H84" s="17">
        <f t="shared" si="58"/>
        <v>0</v>
      </c>
      <c r="I84" s="18">
        <f t="shared" si="58"/>
        <v>0</v>
      </c>
      <c r="J84" s="18">
        <f t="shared" si="58"/>
        <v>0</v>
      </c>
      <c r="K84" s="18">
        <f t="shared" si="58"/>
        <v>0</v>
      </c>
      <c r="L84" s="18">
        <f t="shared" si="58"/>
        <v>0</v>
      </c>
      <c r="M84" s="18">
        <f t="shared" si="58"/>
        <v>0</v>
      </c>
      <c r="N84" s="18">
        <f t="shared" si="58"/>
        <v>0</v>
      </c>
      <c r="O84" s="18">
        <f t="shared" si="58"/>
        <v>0</v>
      </c>
      <c r="P84" s="18">
        <f>SUM(D84:O84)</f>
        <v>0</v>
      </c>
      <c r="Q84" s="45"/>
    </row>
    <row r="85" spans="1:17" x14ac:dyDescent="0.25">
      <c r="A85" s="9"/>
      <c r="B85" s="15"/>
      <c r="C85" s="15"/>
      <c r="D85" s="15"/>
      <c r="H85" s="15"/>
    </row>
    <row r="86" spans="1:17" ht="15.75" thickBot="1" x14ac:dyDescent="0.3">
      <c r="A86" s="31" t="s">
        <v>78</v>
      </c>
      <c r="B86" s="32">
        <f>SUM(B84)+B73</f>
        <v>354000000</v>
      </c>
      <c r="C86" s="32">
        <f t="shared" ref="C86:D86" si="59">SUM(C84)+C73</f>
        <v>471119128.90999997</v>
      </c>
      <c r="D86" s="32">
        <f t="shared" si="59"/>
        <v>11851531.859999999</v>
      </c>
      <c r="E86" s="32">
        <f t="shared" ref="E86:O86" si="60">SUM(E84)+E73</f>
        <v>14871649.939999999</v>
      </c>
      <c r="F86" s="32">
        <f t="shared" si="60"/>
        <v>21584749.810000002</v>
      </c>
      <c r="G86" s="32">
        <f t="shared" si="60"/>
        <v>17856496.849999994</v>
      </c>
      <c r="H86" s="32">
        <f t="shared" si="60"/>
        <v>29572680.489999998</v>
      </c>
      <c r="I86" s="32">
        <f t="shared" si="60"/>
        <v>21326420.640000001</v>
      </c>
      <c r="J86" s="32">
        <f t="shared" si="60"/>
        <v>22265664.859999992</v>
      </c>
      <c r="K86" s="32">
        <f t="shared" si="60"/>
        <v>22985337.440000001</v>
      </c>
      <c r="L86" s="32">
        <f t="shared" si="60"/>
        <v>26904352.48</v>
      </c>
      <c r="M86" s="32">
        <f t="shared" si="60"/>
        <v>45069730.420000009</v>
      </c>
      <c r="N86" s="32">
        <f t="shared" si="60"/>
        <v>0</v>
      </c>
      <c r="O86" s="32">
        <f t="shared" si="60"/>
        <v>0</v>
      </c>
      <c r="P86" s="32">
        <f>SUM(D86:O86)</f>
        <v>234288614.78999999</v>
      </c>
      <c r="Q86" s="43"/>
    </row>
    <row r="87" spans="1:17" x14ac:dyDescent="0.25">
      <c r="A87" t="s">
        <v>102</v>
      </c>
    </row>
    <row r="92" spans="1:17" x14ac:dyDescent="0.25">
      <c r="B92" s="20" t="s">
        <v>105</v>
      </c>
      <c r="F92" s="30" t="s">
        <v>104</v>
      </c>
      <c r="J92" s="10" t="s">
        <v>108</v>
      </c>
    </row>
    <row r="93" spans="1:17" x14ac:dyDescent="0.25">
      <c r="B93" s="20" t="s">
        <v>103</v>
      </c>
      <c r="F93" s="30" t="s">
        <v>109</v>
      </c>
      <c r="J93" s="10" t="s">
        <v>107</v>
      </c>
    </row>
  </sheetData>
  <mergeCells count="8">
    <mergeCell ref="A6:A7"/>
    <mergeCell ref="B6:B7"/>
    <mergeCell ref="C6:C7"/>
    <mergeCell ref="D6:P6"/>
    <mergeCell ref="A1:O1"/>
    <mergeCell ref="A2:O2"/>
    <mergeCell ref="A3:O3"/>
    <mergeCell ref="A4:O4"/>
  </mergeCells>
  <printOptions horizontalCentered="1"/>
  <pageMargins left="0.11811023622047245" right="0.11811023622047245" top="0.35433070866141736" bottom="0.35433070866141736" header="0" footer="0"/>
  <pageSetup paperSize="5" scale="72" fitToHeight="3" orientation="landscape" r:id="rId1"/>
  <ignoredErrors>
    <ignoredError sqref="P40:P60 P36:P38 P15:P34 P61:P85 P13 P11:P12 P10 P14" formulaRange="1"/>
    <ignoredError sqref="M25:N25 N61 N35 N51 N15 N66:N71 E21 F28:M28 F30:I30 F32:I32 F35:G35 G15 N37:N43 H55:I55 J30:K30 K15 K25 K35 K55 M73:M82 M66:M72 M61:M65 M51 M43:M50 M35 M15 M37:M42 M54 M58:M6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Ejecución octubre 2025</vt:lpstr>
      <vt:lpstr>'Ejecución octubre 2025'!Área_de_impresión</vt:lpstr>
      <vt:lpstr>'Ejecución octubre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Juan Gonzalez Brito</cp:lastModifiedBy>
  <cp:lastPrinted>2025-11-14T19:20:54Z</cp:lastPrinted>
  <dcterms:created xsi:type="dcterms:W3CDTF">2018-04-17T18:57:16Z</dcterms:created>
  <dcterms:modified xsi:type="dcterms:W3CDTF">2025-11-14T19:21:42Z</dcterms:modified>
</cp:coreProperties>
</file>