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FINANZAS 2022/CONTABILIDAD COMPARTIDA/TRANSPARENCIA/EJECUCION PRESUPUESTARIA/"/>
    </mc:Choice>
  </mc:AlternateContent>
  <xr:revisionPtr revIDLastSave="38" documentId="8_{F1B1CD8D-18AB-49A3-BCAD-AC3DDB6AF995}" xr6:coauthVersionLast="47" xr6:coauthVersionMax="47" xr10:uidLastSave="{3159A37D-582A-450B-8D9B-634F657F7460}"/>
  <bookViews>
    <workbookView xWindow="-120" yWindow="-120" windowWidth="29040" windowHeight="16440" tabRatio="713" xr2:uid="{00000000-000D-0000-FFFF-FFFF00000000}"/>
  </bookViews>
  <sheets>
    <sheet name="Ejecución mayo 2026" sheetId="4" r:id="rId1"/>
  </sheets>
  <definedNames>
    <definedName name="_xlnm.Print_Area" localSheetId="0">'Ejecución mayo 2026'!$A$1:$P$95</definedName>
    <definedName name="_xlnm.Print_Titles" localSheetId="0">'Ejecución mayo 2026'!$6:$7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3" i="4" l="1"/>
  <c r="G81" i="4"/>
  <c r="G80" i="4"/>
  <c r="G78" i="4"/>
  <c r="G77" i="4"/>
  <c r="F72" i="4"/>
  <c r="F71" i="4"/>
  <c r="F70" i="4"/>
  <c r="F68" i="4"/>
  <c r="F67" i="4"/>
  <c r="F65" i="4"/>
  <c r="F64" i="4"/>
  <c r="F63" i="4"/>
  <c r="F62" i="4"/>
  <c r="E23" i="4"/>
  <c r="E34" i="4"/>
  <c r="E32" i="4"/>
  <c r="E31" i="4"/>
  <c r="E26" i="4"/>
  <c r="E22" i="4"/>
  <c r="E21" i="4"/>
  <c r="E19" i="4"/>
  <c r="E18" i="4"/>
  <c r="E17" i="4"/>
  <c r="E16" i="4"/>
  <c r="E14" i="4"/>
  <c r="E11" i="4"/>
  <c r="E10" i="4"/>
  <c r="E24" i="4"/>
  <c r="E60" i="4"/>
  <c r="E59" i="4"/>
  <c r="E58" i="4"/>
  <c r="E57" i="4"/>
  <c r="E56" i="4"/>
  <c r="E55" i="4"/>
  <c r="E54" i="4"/>
  <c r="E53" i="4"/>
  <c r="E52" i="4"/>
  <c r="E50" i="4"/>
  <c r="E49" i="4"/>
  <c r="E48" i="4"/>
  <c r="E47" i="4"/>
  <c r="E46" i="4"/>
  <c r="E45" i="4"/>
  <c r="E44" i="4"/>
  <c r="E42" i="4"/>
  <c r="E41" i="4"/>
  <c r="E40" i="4"/>
  <c r="E39" i="4"/>
  <c r="E38" i="4"/>
  <c r="E37" i="4"/>
  <c r="E36" i="4"/>
  <c r="E33" i="4"/>
  <c r="E30" i="4"/>
  <c r="E29" i="4"/>
  <c r="E28" i="4"/>
  <c r="E27" i="4"/>
  <c r="E20" i="4"/>
  <c r="E13" i="4"/>
  <c r="E12" i="4"/>
  <c r="G71" i="4" l="1"/>
  <c r="G72" i="4"/>
  <c r="G70" i="4"/>
  <c r="G67" i="4"/>
  <c r="G64" i="4"/>
  <c r="G63" i="4"/>
  <c r="G62" i="4"/>
  <c r="G65" i="4"/>
  <c r="G68" i="4"/>
  <c r="F34" i="4"/>
  <c r="F32" i="4"/>
  <c r="F31" i="4"/>
  <c r="F30" i="4"/>
  <c r="F28" i="4"/>
  <c r="F27" i="4"/>
  <c r="F26" i="4"/>
  <c r="F24" i="4"/>
  <c r="F23" i="4"/>
  <c r="F22" i="4"/>
  <c r="F21" i="4"/>
  <c r="F20" i="4"/>
  <c r="F19" i="4"/>
  <c r="F18" i="4"/>
  <c r="F17" i="4"/>
  <c r="F14" i="4"/>
  <c r="F11" i="4"/>
  <c r="F59" i="4"/>
  <c r="F16" i="4"/>
  <c r="F10" i="4"/>
  <c r="F60" i="4"/>
  <c r="F58" i="4"/>
  <c r="F57" i="4"/>
  <c r="F56" i="4"/>
  <c r="F55" i="4"/>
  <c r="F54" i="4"/>
  <c r="F53" i="4"/>
  <c r="F52" i="4"/>
  <c r="F50" i="4"/>
  <c r="G50" i="4" s="1"/>
  <c r="F49" i="4"/>
  <c r="G49" i="4" s="1"/>
  <c r="F48" i="4"/>
  <c r="G48" i="4" s="1"/>
  <c r="F47" i="4"/>
  <c r="G47" i="4" s="1"/>
  <c r="F46" i="4"/>
  <c r="G46" i="4" s="1"/>
  <c r="F45" i="4"/>
  <c r="F44" i="4"/>
  <c r="F42" i="4"/>
  <c r="F41" i="4"/>
  <c r="F40" i="4"/>
  <c r="F39" i="4"/>
  <c r="F38" i="4"/>
  <c r="F37" i="4"/>
  <c r="F36" i="4"/>
  <c r="F33" i="4"/>
  <c r="F29" i="4"/>
  <c r="F13" i="4"/>
  <c r="F12" i="4"/>
  <c r="M74" i="4"/>
  <c r="G32" i="4" l="1"/>
  <c r="G31" i="4"/>
  <c r="G30" i="4"/>
  <c r="G27" i="4"/>
  <c r="G21" i="4"/>
  <c r="G18" i="4"/>
  <c r="G56" i="4"/>
  <c r="H56" i="4" s="1"/>
  <c r="G55" i="4"/>
  <c r="H55" i="4" s="1"/>
  <c r="G54" i="4"/>
  <c r="G53" i="4"/>
  <c r="G52" i="4"/>
  <c r="G34" i="4"/>
  <c r="G28" i="4"/>
  <c r="G26" i="4"/>
  <c r="G24" i="4"/>
  <c r="G23" i="4"/>
  <c r="G22" i="4"/>
  <c r="G20" i="4"/>
  <c r="G19" i="4"/>
  <c r="G17" i="4"/>
  <c r="G14" i="4"/>
  <c r="G11" i="4"/>
  <c r="G59" i="4"/>
  <c r="H59" i="4"/>
  <c r="G16" i="4"/>
  <c r="G10" i="4"/>
  <c r="G60" i="4"/>
  <c r="G58" i="4"/>
  <c r="G57" i="4"/>
  <c r="G45" i="4"/>
  <c r="G44" i="4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3" i="4"/>
  <c r="H33" i="4" s="1"/>
  <c r="G29" i="4"/>
  <c r="H29" i="4" s="1"/>
  <c r="G13" i="4"/>
  <c r="H13" i="4" s="1"/>
  <c r="G12" i="4"/>
  <c r="H12" i="4" s="1"/>
  <c r="H54" i="4"/>
  <c r="H53" i="4"/>
  <c r="G36" i="4"/>
  <c r="H36" i="4" s="1"/>
  <c r="H18" i="4"/>
  <c r="H52" i="4"/>
  <c r="C25" i="4"/>
  <c r="H22" i="4" l="1"/>
  <c r="H60" i="4"/>
  <c r="H31" i="4"/>
  <c r="H30" i="4"/>
  <c r="H32" i="4"/>
  <c r="H27" i="4"/>
  <c r="H21" i="4"/>
  <c r="H34" i="4"/>
  <c r="H28" i="4"/>
  <c r="H26" i="4"/>
  <c r="H24" i="4"/>
  <c r="H23" i="4"/>
  <c r="H20" i="4"/>
  <c r="H19" i="4"/>
  <c r="H17" i="4"/>
  <c r="H14" i="4"/>
  <c r="H11" i="4"/>
  <c r="H16" i="4"/>
  <c r="H10" i="4"/>
  <c r="H58" i="4"/>
  <c r="H57" i="4"/>
  <c r="P12" i="4"/>
  <c r="H61" i="4"/>
  <c r="G61" i="4"/>
  <c r="M61" i="4"/>
  <c r="F61" i="4"/>
  <c r="O9" i="4" l="1"/>
  <c r="J51" i="4"/>
  <c r="I25" i="4"/>
  <c r="I61" i="4"/>
  <c r="L15" i="4"/>
  <c r="E66" i="4"/>
  <c r="E61" i="4"/>
  <c r="E51" i="4"/>
  <c r="E43" i="4"/>
  <c r="E35" i="4"/>
  <c r="E25" i="4"/>
  <c r="P39" i="4"/>
  <c r="L35" i="4"/>
  <c r="D35" i="4"/>
  <c r="C35" i="4"/>
  <c r="B35" i="4"/>
  <c r="E9" i="4"/>
  <c r="D82" i="4"/>
  <c r="G82" i="4" s="1"/>
  <c r="C82" i="4"/>
  <c r="D79" i="4"/>
  <c r="G79" i="4" s="1"/>
  <c r="C79" i="4"/>
  <c r="B82" i="4"/>
  <c r="B79" i="4"/>
  <c r="D76" i="4"/>
  <c r="G76" i="4" s="1"/>
  <c r="C76" i="4"/>
  <c r="B76" i="4"/>
  <c r="M9" i="4"/>
  <c r="L9" i="4"/>
  <c r="I9" i="4"/>
  <c r="H9" i="4"/>
  <c r="M15" i="4"/>
  <c r="K15" i="4"/>
  <c r="J15" i="4"/>
  <c r="I15" i="4"/>
  <c r="H15" i="4"/>
  <c r="H25" i="4"/>
  <c r="F35" i="4"/>
  <c r="I51" i="4"/>
  <c r="H51" i="4"/>
  <c r="D69" i="4"/>
  <c r="C69" i="4"/>
  <c r="B69" i="4"/>
  <c r="O66" i="4"/>
  <c r="N66" i="4"/>
  <c r="M66" i="4"/>
  <c r="L66" i="4"/>
  <c r="K66" i="4"/>
  <c r="J66" i="4"/>
  <c r="I66" i="4"/>
  <c r="H66" i="4"/>
  <c r="G66" i="4"/>
  <c r="F66" i="4"/>
  <c r="D66" i="4"/>
  <c r="C66" i="4"/>
  <c r="B66" i="4"/>
  <c r="D61" i="4"/>
  <c r="C61" i="4"/>
  <c r="B61" i="4"/>
  <c r="O43" i="4"/>
  <c r="N43" i="4"/>
  <c r="M43" i="4"/>
  <c r="L43" i="4"/>
  <c r="K43" i="4"/>
  <c r="J43" i="4"/>
  <c r="I43" i="4"/>
  <c r="H43" i="4"/>
  <c r="G43" i="4"/>
  <c r="F43" i="4"/>
  <c r="D43" i="4"/>
  <c r="C43" i="4"/>
  <c r="B43" i="4"/>
  <c r="F69" i="4" l="1"/>
  <c r="G69" i="4"/>
  <c r="N9" i="4"/>
  <c r="N15" i="4"/>
  <c r="O15" i="4"/>
  <c r="P60" i="4"/>
  <c r="G35" i="4"/>
  <c r="H35" i="4"/>
  <c r="H73" i="4" s="1"/>
  <c r="K9" i="4"/>
  <c r="J9" i="4"/>
  <c r="P14" i="4"/>
  <c r="G51" i="4"/>
  <c r="G25" i="4"/>
  <c r="G15" i="4"/>
  <c r="G9" i="4"/>
  <c r="E15" i="4"/>
  <c r="M84" i="4"/>
  <c r="F51" i="4"/>
  <c r="F25" i="4"/>
  <c r="F15" i="4"/>
  <c r="C84" i="4"/>
  <c r="G84" i="4"/>
  <c r="O84" i="4"/>
  <c r="C75" i="4"/>
  <c r="K84" i="4"/>
  <c r="I84" i="4"/>
  <c r="E84" i="4"/>
  <c r="J84" i="4"/>
  <c r="N84" i="4"/>
  <c r="D84" i="4"/>
  <c r="H84" i="4"/>
  <c r="L84" i="4"/>
  <c r="D75" i="4"/>
  <c r="F84" i="4"/>
  <c r="P31" i="4" l="1"/>
  <c r="P57" i="4"/>
  <c r="K51" i="4"/>
  <c r="L51" i="4"/>
  <c r="P34" i="4"/>
  <c r="J25" i="4"/>
  <c r="K25" i="4"/>
  <c r="I35" i="4"/>
  <c r="J61" i="4"/>
  <c r="K61" i="4"/>
  <c r="P10" i="4"/>
  <c r="G73" i="4"/>
  <c r="G86" i="4" s="1"/>
  <c r="F9" i="4"/>
  <c r="F73" i="4" s="1"/>
  <c r="F86" i="4" s="1"/>
  <c r="H8" i="4"/>
  <c r="H86" i="4"/>
  <c r="E73" i="4"/>
  <c r="P84" i="4"/>
  <c r="P83" i="4"/>
  <c r="P82" i="4"/>
  <c r="P81" i="4"/>
  <c r="P80" i="4"/>
  <c r="P79" i="4"/>
  <c r="P78" i="4"/>
  <c r="P77" i="4"/>
  <c r="P76" i="4"/>
  <c r="P75" i="4"/>
  <c r="P72" i="4"/>
  <c r="P71" i="4"/>
  <c r="P70" i="4"/>
  <c r="P69" i="4"/>
  <c r="P68" i="4"/>
  <c r="P67" i="4"/>
  <c r="P66" i="4"/>
  <c r="P65" i="4"/>
  <c r="P64" i="4"/>
  <c r="P63" i="4"/>
  <c r="P58" i="4"/>
  <c r="P56" i="4"/>
  <c r="P55" i="4"/>
  <c r="P54" i="4"/>
  <c r="P53" i="4"/>
  <c r="P50" i="4"/>
  <c r="P49" i="4"/>
  <c r="P48" i="4"/>
  <c r="P47" i="4"/>
  <c r="P46" i="4"/>
  <c r="P45" i="4"/>
  <c r="P44" i="4"/>
  <c r="P43" i="4"/>
  <c r="P42" i="4"/>
  <c r="P41" i="4"/>
  <c r="P40" i="4"/>
  <c r="P38" i="4"/>
  <c r="P37" i="4"/>
  <c r="P33" i="4"/>
  <c r="P30" i="4"/>
  <c r="P29" i="4"/>
  <c r="P28" i="4"/>
  <c r="P27" i="4"/>
  <c r="P24" i="4"/>
  <c r="P23" i="4"/>
  <c r="P22" i="4"/>
  <c r="P21" i="4"/>
  <c r="P20" i="4"/>
  <c r="P19" i="4"/>
  <c r="P18" i="4"/>
  <c r="P17" i="4"/>
  <c r="P16" i="4"/>
  <c r="P13" i="4"/>
  <c r="P11" i="4"/>
  <c r="D51" i="4"/>
  <c r="D25" i="4"/>
  <c r="D15" i="4"/>
  <c r="P15" i="4" s="1"/>
  <c r="D9" i="4"/>
  <c r="C51" i="4"/>
  <c r="C15" i="4"/>
  <c r="C9" i="4"/>
  <c r="B51" i="4"/>
  <c r="B25" i="4"/>
  <c r="B15" i="4"/>
  <c r="P59" i="4" l="1"/>
  <c r="M25" i="4"/>
  <c r="I73" i="4"/>
  <c r="L61" i="4"/>
  <c r="N61" i="4"/>
  <c r="P9" i="4"/>
  <c r="G8" i="4"/>
  <c r="F8" i="4"/>
  <c r="E86" i="4"/>
  <c r="E8" i="4"/>
  <c r="C73" i="4"/>
  <c r="D73" i="4"/>
  <c r="B9" i="4"/>
  <c r="B73" i="4" s="1"/>
  <c r="B8" i="4" s="1"/>
  <c r="C86" i="4" l="1"/>
  <c r="C8" i="4"/>
  <c r="M51" i="4"/>
  <c r="N51" i="4"/>
  <c r="N25" i="4"/>
  <c r="P32" i="4"/>
  <c r="L25" i="4"/>
  <c r="I86" i="4"/>
  <c r="I8" i="4"/>
  <c r="K35" i="4"/>
  <c r="K73" i="4" s="1"/>
  <c r="J35" i="4"/>
  <c r="O61" i="4"/>
  <c r="P62" i="4"/>
  <c r="D86" i="4"/>
  <c r="D8" i="4"/>
  <c r="B75" i="4"/>
  <c r="B84" i="4"/>
  <c r="B86" i="4" s="1"/>
  <c r="O51" i="4" l="1"/>
  <c r="P51" i="4" s="1"/>
  <c r="L73" i="4"/>
  <c r="M35" i="4"/>
  <c r="M73" i="4" s="1"/>
  <c r="M86" i="4" s="1"/>
  <c r="K86" i="4"/>
  <c r="K8" i="4"/>
  <c r="P61" i="4"/>
  <c r="J73" i="4"/>
  <c r="P52" i="4" l="1"/>
  <c r="O25" i="4"/>
  <c r="P25" i="4" s="1"/>
  <c r="P26" i="4"/>
  <c r="L8" i="4"/>
  <c r="L86" i="4"/>
  <c r="M8" i="4"/>
  <c r="J86" i="4"/>
  <c r="J8" i="4"/>
  <c r="N35" i="4" l="1"/>
  <c r="N73" i="4" l="1"/>
  <c r="O35" i="4"/>
  <c r="O73" i="4" s="1"/>
  <c r="P36" i="4"/>
  <c r="O86" i="4" l="1"/>
  <c r="O8" i="4"/>
  <c r="N86" i="4"/>
  <c r="P73" i="4"/>
  <c r="N8" i="4"/>
  <c r="P35" i="4"/>
  <c r="P86" i="4" l="1"/>
  <c r="P8" i="4"/>
</calcChain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<sst xmlns="http://schemas.openxmlformats.org/spreadsheetml/2006/main" count="104" uniqueCount="104">
  <si>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</si>
  <si>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</si>
  <si>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</si>
  <si>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</si>
  <si>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</si>
  <si>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</si>
  <si>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</si>
  <si>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</si>
  <si>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</si>
  <si>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</si>
  <si>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</si>
  <si>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</si>
  <si>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</si>
  <si>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</si>
  <si>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</si>
  <si>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</si>
  <si>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</si>
  <si>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</si>
  <si>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</si>
  <si>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</si>
  <si>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</si>
  <si>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</si>
  <si>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</si>
  <si>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</si>
  <si>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</si>
  <si>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</si>
  <si>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</si>
  <si>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</si>
  <si>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</si>
  <si>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</si>
  <si>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</si>
  <si>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</si>
  <si>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</si>
  <si>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</si>
  <si>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</si>
  <si>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</si>
  <si>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</si>
  <si>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</si>
  <si>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</si>
  <si>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</si>
  <si>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</si>
  <si>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</si>
  <si>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</si>
  <si>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</si>
  <si>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</si>
  <si>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</si>
  <si>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</si>
  <si>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</si>
  <si>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</si>
  <si>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</si>
  <si>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</si>
  <si>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</si>
  <si>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</si>
  <si>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</si>
  <si>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</si>
  <si>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</si>
  <si>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</si>
  <si>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</si>
  <si>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</si>
  <si>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</si>
  <si>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</si>
  <si>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</si>
  <si>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</si>
  <si>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</si>
  <si>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</si>
  <si>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</si>
  <si>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</si>
  <si>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</si>
  <si>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</si>
  <si>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</si>
  <si>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</si>
  <si>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</si>
  <si>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</si>
  <si>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</si>
  <si>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</si>
  <si>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</si>
  <si>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</si>
  <si>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</si>
  <si>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</si>
  <si>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</si>
  <si>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</si>
  <si>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</si>
  <si>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</si>
  <si>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</si>
  <si>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</si>
  <si>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</si>
  <si>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</si>
  <si>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 xml:space="preserve">Ejecución de Gastos y Aplicaciones Financieras </t>
  </si>
  <si>
    <t xml:space="preserve">Total </t>
  </si>
  <si>
    <t>DIRECCION GENERAL DE ALIANZAS PUBLICO PRIVADAS</t>
  </si>
  <si>
    <t>Presupuesto Aprobado</t>
  </si>
  <si>
    <t>Presupuesto Modificado</t>
  </si>
  <si>
    <t>Gasto Devengado</t>
  </si>
  <si>
    <t>Fuente: [SIGEF]</t>
  </si>
  <si>
    <t>Revisado: Juan Gonzalez</t>
  </si>
  <si>
    <t>Enc. De Contabilidad</t>
  </si>
  <si>
    <t>Preparado: Yohan Alcantara</t>
  </si>
  <si>
    <t>Aprobado: Maria Eugenia Montero</t>
  </si>
  <si>
    <t>Analista Financiero</t>
  </si>
  <si>
    <t>Dir. Financiera</t>
  </si>
  <si>
    <t>Sept.</t>
  </si>
  <si>
    <t>Nov.</t>
  </si>
  <si>
    <t>Dic.</t>
  </si>
  <si>
    <t>Oct.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</si>
</sst>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4" tint="0.39997558519241921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thin">
        <color theme="4" tint="0.39997558519241921"/>
      </top>
      <bottom/>
      <diagonal/>
    </border>
    <border>
      <left style="medium">
        <color theme="0"/>
      </left>
      <right/>
      <top style="thin">
        <color theme="4" tint="0.39997558519241921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/>
      <top style="medium">
        <color theme="0"/>
      </top>
      <bottom style="thin">
        <color theme="0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6">
    <xf numFmtId="0" fontId="0" fillId="0" borderId="0" xfId="0"/>
    <xf numFmtId="43" fontId="0" fillId="0" borderId="0" xfId="1" applyFont="1"/>
    <xf numFmtId="43" fontId="0" fillId="0" borderId="0" xfId="0" applyNumberFormat="1"/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 indent="2"/>
    </xf>
    <xf numFmtId="0" fontId="1" fillId="2" borderId="16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5" xfId="0" applyBorder="1"/>
    <xf numFmtId="43" fontId="0" fillId="0" borderId="0" xfId="0" applyNumberFormat="1" applyAlignment="1">
      <alignment vertical="center"/>
    </xf>
    <xf numFmtId="43" fontId="1" fillId="0" borderId="0" xfId="0" applyNumberFormat="1" applyFont="1" applyAlignment="1">
      <alignment vertical="center"/>
    </xf>
    <xf numFmtId="43" fontId="1" fillId="0" borderId="1" xfId="1" applyFont="1" applyBorder="1" applyAlignment="1">
      <alignment vertical="center" wrapText="1"/>
    </xf>
    <xf numFmtId="43" fontId="1" fillId="0" borderId="0" xfId="1" applyFont="1" applyBorder="1" applyAlignment="1">
      <alignment vertical="center" wrapText="1"/>
    </xf>
    <xf numFmtId="43" fontId="1" fillId="0" borderId="0" xfId="1" applyFont="1" applyBorder="1" applyAlignment="1">
      <alignment vertical="center"/>
    </xf>
    <xf numFmtId="43" fontId="0" fillId="0" borderId="0" xfId="1" applyFont="1" applyBorder="1" applyAlignment="1">
      <alignment vertical="center"/>
    </xf>
    <xf numFmtId="43" fontId="0" fillId="0" borderId="0" xfId="1" applyFont="1" applyBorder="1" applyAlignment="1">
      <alignment vertical="center" wrapText="1"/>
    </xf>
    <xf numFmtId="43" fontId="1" fillId="2" borderId="2" xfId="1" applyFont="1" applyFill="1" applyBorder="1" applyAlignment="1">
      <alignment vertical="center" wrapText="1"/>
    </xf>
    <xf numFmtId="43" fontId="1" fillId="2" borderId="2" xfId="0" applyNumberFormat="1" applyFont="1" applyFill="1" applyBorder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43" fontId="0" fillId="0" borderId="0" xfId="1" applyFont="1" applyAlignment="1">
      <alignment vertical="center"/>
    </xf>
    <xf numFmtId="43" fontId="5" fillId="4" borderId="7" xfId="1" applyFont="1" applyFill="1" applyBorder="1" applyAlignment="1">
      <alignment horizontal="center" vertical="center" wrapText="1"/>
    </xf>
    <xf numFmtId="43" fontId="5" fillId="4" borderId="8" xfId="0" applyNumberFormat="1" applyFont="1" applyFill="1" applyBorder="1" applyAlignment="1">
      <alignment horizontal="center" vertical="center" wrapText="1"/>
    </xf>
    <xf numFmtId="43" fontId="5" fillId="4" borderId="7" xfId="0" applyNumberFormat="1" applyFont="1" applyFill="1" applyBorder="1" applyAlignment="1">
      <alignment horizontal="center" vertical="center" wrapText="1"/>
    </xf>
    <xf numFmtId="43" fontId="5" fillId="4" borderId="3" xfId="0" applyNumberFormat="1" applyFont="1" applyFill="1" applyBorder="1" applyAlignment="1">
      <alignment horizontal="center" vertical="center" wrapText="1"/>
    </xf>
    <xf numFmtId="43" fontId="5" fillId="4" borderId="5" xfId="0" applyNumberFormat="1" applyFont="1" applyFill="1" applyBorder="1" applyAlignment="1">
      <alignment horizontal="center" vertical="center" wrapText="1"/>
    </xf>
    <xf numFmtId="43" fontId="5" fillId="4" borderId="6" xfId="0" applyNumberFormat="1" applyFont="1" applyFill="1" applyBorder="1" applyAlignment="1">
      <alignment horizontal="center" vertical="center" wrapText="1"/>
    </xf>
    <xf numFmtId="0" fontId="1" fillId="0" borderId="0" xfId="0" applyFont="1"/>
    <xf numFmtId="9" fontId="1" fillId="0" borderId="0" xfId="2" applyFont="1"/>
    <xf numFmtId="43" fontId="1" fillId="0" borderId="1" xfId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3" borderId="17" xfId="0" applyFont="1" applyFill="1" applyBorder="1" applyAlignment="1">
      <alignment horizontal="left" vertical="center" wrapText="1"/>
    </xf>
    <xf numFmtId="43" fontId="1" fillId="3" borderId="18" xfId="1" applyFont="1" applyFill="1" applyBorder="1" applyAlignment="1">
      <alignment vertical="center" wrapText="1"/>
    </xf>
    <xf numFmtId="43" fontId="4" fillId="0" borderId="0" xfId="1" applyFont="1" applyFill="1" applyBorder="1" applyAlignment="1">
      <alignment vertical="center"/>
    </xf>
    <xf numFmtId="43" fontId="0" fillId="0" borderId="0" xfId="1" applyFont="1" applyFill="1" applyBorder="1" applyAlignment="1">
      <alignment vertical="center"/>
    </xf>
    <xf numFmtId="43" fontId="1" fillId="6" borderId="0" xfId="1" applyFont="1" applyFill="1" applyBorder="1" applyAlignment="1">
      <alignment vertical="center" wrapText="1"/>
    </xf>
    <xf numFmtId="43" fontId="1" fillId="6" borderId="0" xfId="0" applyNumberFormat="1" applyFont="1" applyFill="1" applyAlignment="1">
      <alignment vertical="center"/>
    </xf>
    <xf numFmtId="43" fontId="1" fillId="6" borderId="0" xfId="1" applyFont="1" applyFill="1" applyBorder="1" applyAlignment="1">
      <alignment vertical="center"/>
    </xf>
    <xf numFmtId="43" fontId="0" fillId="0" borderId="0" xfId="1" applyFont="1" applyFill="1" applyBorder="1" applyAlignment="1">
      <alignment vertical="center" wrapText="1"/>
    </xf>
    <xf numFmtId="43" fontId="0" fillId="0" borderId="0" xfId="1" applyFont="1" applyFill="1" applyAlignment="1">
      <alignment vertical="center"/>
    </xf>
    <xf numFmtId="43" fontId="4" fillId="0" borderId="0" xfId="1" applyFont="1" applyFill="1" applyBorder="1" applyAlignment="1">
      <alignment vertical="center" wrapText="1"/>
    </xf>
    <xf numFmtId="43" fontId="1" fillId="0" borderId="0" xfId="1" applyFont="1" applyFill="1" applyBorder="1" applyAlignment="1">
      <alignment vertical="center" wrapText="1"/>
    </xf>
    <xf numFmtId="43" fontId="1" fillId="0" borderId="0" xfId="1" applyFont="1" applyFill="1" applyBorder="1" applyAlignment="1">
      <alignment vertical="center"/>
    </xf>
    <xf numFmtId="43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/>
    </xf>
    <xf numFmtId="43" fontId="6" fillId="0" borderId="0" xfId="1" applyFont="1" applyFill="1" applyBorder="1" applyAlignment="1">
      <alignment horizontal="center" vertical="center"/>
    </xf>
    <xf numFmtId="43" fontId="5" fillId="0" borderId="0" xfId="0" applyNumberFormat="1" applyFont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43" fontId="5" fillId="4" borderId="10" xfId="1" applyFont="1" applyFill="1" applyBorder="1" applyAlignment="1">
      <alignment horizontal="center" vertical="center" wrapText="1"/>
    </xf>
    <xf numFmtId="43" fontId="5" fillId="4" borderId="4" xfId="1" applyFont="1" applyFill="1" applyBorder="1" applyAlignment="1">
      <alignment horizontal="center" vertical="center" wrapText="1"/>
    </xf>
    <xf numFmtId="43" fontId="6" fillId="5" borderId="11" xfId="1" applyFont="1" applyFill="1" applyBorder="1" applyAlignment="1">
      <alignment horizontal="center" vertical="center"/>
    </xf>
    <xf numFmtId="43" fontId="6" fillId="5" borderId="12" xfId="1" applyFont="1" applyFill="1" applyBorder="1" applyAlignment="1">
      <alignment horizontal="center" vertical="center"/>
    </xf>
    <xf numFmtId="43" fontId="6" fillId="5" borderId="19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244037</xdr:colOff>
      <xdr:row>0</xdr:row>
      <xdr:rowOff>13076</xdr:rowOff>
    </xdr:from>
    <xdr:to>
      <xdr:col>0</xdr:col>
      <xdr:colOff>2085096</xdr:colOff>
      <xdr:row>3</xdr:row>
      <xdr:rowOff>112059</xdr:rowOff>
    </xdr:to>
    <xdr:pic>
      <xdr:nvPicPr>
        <xdr:cNvPr id="2" name="Picture 2" descr="A picture containing drawing, sign, mug&#10;&#10;Description automatically generated">
          <a:extLst>
            <a:ext uri="{FF2B5EF4-FFF2-40B4-BE49-F238E27FC236}">
              <a16:creationId xmlns:a16="http://schemas.microsoft.com/office/drawing/2014/main" id="{34CECB48-93A6-4B28-87CA-64C191EFF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037" y="248400"/>
          <a:ext cx="1841059" cy="771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0D99E-4F56-48EF-B5A3-3279BC95798C}">
  <sheetPr>
    <pageSetUpPr fitToPage="1"/>
  </sheetPr>
  <dimension ref="A1:AC93"/>
  <sheetViews>
    <sheetView showGridLines="0" tabSelected="1" zoomScale="85" zoomScaleNormal="85" workbookViewId="0">
      <pane xSplit="3" ySplit="8" topLeftCell="D55" activePane="bottomRight" state="frozen"/>
      <selection pane="topRight" activeCell="D1" sqref="D1"/>
      <selection pane="bottomLeft" activeCell="A10" sqref="A10"/>
      <selection pane="bottomRight" activeCell="O7" sqref="O7"/>
    </sheetView>
  </sheetViews>
  <sheetFormatPr baseColWidth="10" defaultColWidth="9.140625" defaultRowHeight="15" x14ac:dyDescent="0.25"/>
  <cols>
    <col min="1" max="1" width="54.5703125" bestFit="1" customWidth="1"/>
    <col min="2" max="2" width="14.7109375" style="19" customWidth="1"/>
    <col min="3" max="3" width="16.140625" style="19" customWidth="1"/>
    <col min="4" max="4" width="13.7109375" style="19" customWidth="1"/>
    <col min="5" max="8" width="13.7109375" style="9" bestFit="1" customWidth="1"/>
    <col min="9" max="9" width="7" style="9" bestFit="1" customWidth="1"/>
    <col min="10" max="10" width="6.140625" style="9" bestFit="1" customWidth="1"/>
    <col min="11" max="11" width="8.7109375" style="9" bestFit="1" customWidth="1"/>
    <col min="12" max="12" width="6.85546875" style="9" bestFit="1" customWidth="1"/>
    <col min="13" max="13" width="5.7109375" style="9" bestFit="1" customWidth="1"/>
    <col min="14" max="14" width="6.42578125" style="9" bestFit="1" customWidth="1"/>
    <col min="15" max="15" width="5.28515625" style="9" bestFit="1" customWidth="1"/>
    <col min="16" max="16" width="13.7109375" style="9" bestFit="1" customWidth="1"/>
    <col min="17" max="17" width="18.7109375" style="9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18.75" customHeight="1" x14ac:dyDescent="0.25">
      <c r="A1" s="53" t="s">
        <v>89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R1" s="43"/>
    </row>
    <row r="2" spans="1:29" ht="18.75" x14ac:dyDescent="0.25">
      <c r="A2" s="53">
        <v>2026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R2" s="43"/>
    </row>
    <row r="3" spans="1:29" ht="15.75" x14ac:dyDescent="0.25">
      <c r="A3" s="54" t="s">
        <v>87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R3" s="43"/>
    </row>
    <row r="4" spans="1:29" x14ac:dyDescent="0.25">
      <c r="A4" s="55" t="s">
        <v>36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R4" s="43"/>
    </row>
    <row r="5" spans="1:29" ht="9.9499999999999993" customHeight="1" thickBot="1" x14ac:dyDescent="0.3">
      <c r="P5" s="32"/>
      <c r="Q5" s="32"/>
      <c r="R5" s="43"/>
    </row>
    <row r="6" spans="1:29" ht="21" customHeight="1" x14ac:dyDescent="0.25">
      <c r="A6" s="46" t="s">
        <v>0</v>
      </c>
      <c r="B6" s="48" t="s">
        <v>90</v>
      </c>
      <c r="C6" s="48" t="s">
        <v>91</v>
      </c>
      <c r="D6" s="50" t="s">
        <v>92</v>
      </c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2"/>
      <c r="Q6" s="44"/>
      <c r="R6" s="43"/>
    </row>
    <row r="7" spans="1:29" ht="15.75" x14ac:dyDescent="0.25">
      <c r="A7" s="47"/>
      <c r="B7" s="49"/>
      <c r="C7" s="49"/>
      <c r="D7" s="20" t="s">
        <v>79</v>
      </c>
      <c r="E7" s="21" t="s">
        <v>80</v>
      </c>
      <c r="F7" s="22" t="s">
        <v>81</v>
      </c>
      <c r="G7" s="22" t="s">
        <v>82</v>
      </c>
      <c r="H7" s="22" t="s">
        <v>83</v>
      </c>
      <c r="I7" s="23" t="s">
        <v>84</v>
      </c>
      <c r="J7" s="24" t="s">
        <v>85</v>
      </c>
      <c r="K7" s="23" t="s">
        <v>86</v>
      </c>
      <c r="L7" s="25" t="s">
        <v>100</v>
      </c>
      <c r="M7" s="24" t="s">
        <v>103</v>
      </c>
      <c r="N7" s="24" t="s">
        <v>101</v>
      </c>
      <c r="O7" s="24" t="s">
        <v>102</v>
      </c>
      <c r="P7" s="23" t="s">
        <v>88</v>
      </c>
      <c r="Q7" s="45"/>
      <c r="AB7" s="2"/>
      <c r="AC7" s="2"/>
    </row>
    <row r="8" spans="1:29" ht="20.100000000000001" customHeight="1" x14ac:dyDescent="0.25">
      <c r="A8" s="3" t="s">
        <v>1</v>
      </c>
      <c r="B8" s="11">
        <f>SUM(B73)</f>
        <v>354000000</v>
      </c>
      <c r="C8" s="11">
        <f>SUM(C73)</f>
        <v>495519788.63999999</v>
      </c>
      <c r="D8" s="11">
        <f t="shared" ref="D8:O8" si="0">SUM(D73)</f>
        <v>15661978.83</v>
      </c>
      <c r="E8" s="11">
        <f>SUM(E73)</f>
        <v>17895818.649999999</v>
      </c>
      <c r="F8" s="11">
        <f t="shared" si="0"/>
        <v>19732593.420000002</v>
      </c>
      <c r="G8" s="11">
        <f t="shared" si="0"/>
        <v>16239119.119999995</v>
      </c>
      <c r="H8" s="11">
        <f t="shared" si="0"/>
        <v>27258916.09</v>
      </c>
      <c r="I8" s="11">
        <f t="shared" si="0"/>
        <v>0</v>
      </c>
      <c r="J8" s="11">
        <f t="shared" si="0"/>
        <v>0</v>
      </c>
      <c r="K8" s="11">
        <f t="shared" si="0"/>
        <v>0</v>
      </c>
      <c r="L8" s="11">
        <f t="shared" si="0"/>
        <v>0</v>
      </c>
      <c r="M8" s="11">
        <f t="shared" si="0"/>
        <v>0</v>
      </c>
      <c r="N8" s="11">
        <f t="shared" si="0"/>
        <v>0</v>
      </c>
      <c r="O8" s="11">
        <f t="shared" si="0"/>
        <v>0</v>
      </c>
      <c r="P8" s="28">
        <f>SUM(D8:O8)</f>
        <v>96788426.109999999</v>
      </c>
      <c r="Q8" s="40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s="26" customFormat="1" ht="20.100000000000001" customHeight="1" x14ac:dyDescent="0.25">
      <c r="A9" s="4" t="s">
        <v>2</v>
      </c>
      <c r="B9" s="34">
        <f>SUM(B10:B14)</f>
        <v>232020884</v>
      </c>
      <c r="C9" s="36">
        <f>SUM(C10:C14)</f>
        <v>232020884</v>
      </c>
      <c r="D9" s="36">
        <f>SUM(D10:D14)</f>
        <v>13013991.09</v>
      </c>
      <c r="E9" s="36">
        <f>SUM(E10:E14)</f>
        <v>13048980.789999999</v>
      </c>
      <c r="F9" s="36">
        <f t="shared" ref="F9:O9" si="1">SUM(F10:F14)</f>
        <v>13110843.540000003</v>
      </c>
      <c r="G9" s="36">
        <f t="shared" si="1"/>
        <v>12726877.279999996</v>
      </c>
      <c r="H9" s="34">
        <f t="shared" si="1"/>
        <v>22376697.720000003</v>
      </c>
      <c r="I9" s="36">
        <f t="shared" si="1"/>
        <v>0</v>
      </c>
      <c r="J9" s="36">
        <f t="shared" si="1"/>
        <v>0</v>
      </c>
      <c r="K9" s="36">
        <f t="shared" si="1"/>
        <v>0</v>
      </c>
      <c r="L9" s="36">
        <f t="shared" si="1"/>
        <v>0</v>
      </c>
      <c r="M9" s="36">
        <f t="shared" si="1"/>
        <v>0</v>
      </c>
      <c r="N9" s="36">
        <f t="shared" si="1"/>
        <v>0</v>
      </c>
      <c r="O9" s="36">
        <f t="shared" si="1"/>
        <v>0</v>
      </c>
      <c r="P9" s="36">
        <f>SUM(D9:O9)</f>
        <v>74277390.420000002</v>
      </c>
      <c r="Q9" s="41"/>
      <c r="T9" s="27"/>
    </row>
    <row r="10" spans="1:29" ht="18" customHeight="1" x14ac:dyDescent="0.25">
      <c r="A10" s="5" t="s">
        <v>3</v>
      </c>
      <c r="B10" s="39">
        <v>156190000</v>
      </c>
      <c r="C10" s="32">
        <v>160015000</v>
      </c>
      <c r="D10" s="15">
        <v>10635500</v>
      </c>
      <c r="E10" s="14">
        <f>21286000-D10</f>
        <v>10650500</v>
      </c>
      <c r="F10" s="14">
        <f>32006633.44-D10-E10</f>
        <v>10720633.440000001</v>
      </c>
      <c r="G10" s="14">
        <f>42316133.44-D10-E10-F10</f>
        <v>10309499.999999996</v>
      </c>
      <c r="H10" s="15">
        <f>53277935.69-D10-E10-F10-G10</f>
        <v>10961802.25</v>
      </c>
      <c r="I10" s="14"/>
      <c r="J10" s="14"/>
      <c r="K10" s="14"/>
      <c r="L10" s="14"/>
      <c r="M10" s="14"/>
      <c r="N10" s="14"/>
      <c r="O10" s="14"/>
      <c r="P10" s="14">
        <f>SUM(D10:O10)</f>
        <v>53277935.689999998</v>
      </c>
      <c r="Q10" s="33"/>
    </row>
    <row r="11" spans="1:29" x14ac:dyDescent="0.25">
      <c r="A11" s="5" t="s">
        <v>4</v>
      </c>
      <c r="B11" s="39">
        <v>55984500</v>
      </c>
      <c r="C11" s="32">
        <v>50384500</v>
      </c>
      <c r="D11" s="15">
        <v>828950</v>
      </c>
      <c r="E11" s="14">
        <f>1661650-D11</f>
        <v>832700</v>
      </c>
      <c r="F11" s="14">
        <f>2490300-D11-E11</f>
        <v>828650</v>
      </c>
      <c r="G11" s="14">
        <f>3392050-D11-E11-F11</f>
        <v>901750</v>
      </c>
      <c r="H11" s="15">
        <f>13296363.89-D11-E11-F11-G11</f>
        <v>9904313.8900000006</v>
      </c>
      <c r="I11" s="14"/>
      <c r="J11" s="14"/>
      <c r="K11" s="14"/>
      <c r="L11" s="14"/>
      <c r="M11" s="14"/>
      <c r="N11" s="14"/>
      <c r="O11" s="14"/>
      <c r="P11" s="14">
        <f t="shared" ref="P11:P13" si="2">SUM(D11:O11)</f>
        <v>13296363.890000001</v>
      </c>
      <c r="Q11" s="33"/>
    </row>
    <row r="12" spans="1:29" x14ac:dyDescent="0.25">
      <c r="A12" s="5" t="s">
        <v>37</v>
      </c>
      <c r="B12" s="39">
        <v>0</v>
      </c>
      <c r="C12" s="32">
        <v>0</v>
      </c>
      <c r="D12" s="15">
        <v>0</v>
      </c>
      <c r="E12" s="14">
        <f t="shared" ref="E12:E13" si="3">0-D12</f>
        <v>0</v>
      </c>
      <c r="F12" s="14">
        <f t="shared" ref="F12:F13" si="4">0-D12-E12</f>
        <v>0</v>
      </c>
      <c r="G12" s="14">
        <f t="shared" ref="G12:G13" si="5">0-D12-E12-F12</f>
        <v>0</v>
      </c>
      <c r="H12" s="15">
        <f t="shared" ref="H12:H13" si="6">0-D12-E12-F12-G12</f>
        <v>0</v>
      </c>
      <c r="I12" s="14"/>
      <c r="J12" s="14"/>
      <c r="K12" s="14"/>
      <c r="L12" s="14"/>
      <c r="M12" s="14"/>
      <c r="N12" s="14"/>
      <c r="O12" s="14"/>
      <c r="P12" s="14">
        <f>SUM(D12:O12)</f>
        <v>0</v>
      </c>
      <c r="Q12" s="33"/>
    </row>
    <row r="13" spans="1:29" x14ac:dyDescent="0.25">
      <c r="A13" s="5" t="s">
        <v>5</v>
      </c>
      <c r="B13" s="39">
        <v>0</v>
      </c>
      <c r="C13" s="32">
        <v>0</v>
      </c>
      <c r="D13" s="15">
        <v>0</v>
      </c>
      <c r="E13" s="14">
        <f t="shared" si="3"/>
        <v>0</v>
      </c>
      <c r="F13" s="14">
        <f t="shared" si="4"/>
        <v>0</v>
      </c>
      <c r="G13" s="14">
        <f t="shared" si="5"/>
        <v>0</v>
      </c>
      <c r="H13" s="15">
        <f t="shared" si="6"/>
        <v>0</v>
      </c>
      <c r="I13" s="14"/>
      <c r="J13" s="14"/>
      <c r="K13" s="14"/>
      <c r="L13" s="14"/>
      <c r="M13" s="14"/>
      <c r="N13" s="14"/>
      <c r="O13" s="14"/>
      <c r="P13" s="14">
        <f t="shared" si="2"/>
        <v>0</v>
      </c>
      <c r="Q13" s="33"/>
    </row>
    <row r="14" spans="1:29" x14ac:dyDescent="0.25">
      <c r="A14" s="5" t="s">
        <v>6</v>
      </c>
      <c r="B14" s="39">
        <v>19846384</v>
      </c>
      <c r="C14" s="39">
        <v>21621384</v>
      </c>
      <c r="D14" s="15">
        <v>1549541.09</v>
      </c>
      <c r="E14" s="14">
        <f>3115321.88-D14</f>
        <v>1565780.7899999998</v>
      </c>
      <c r="F14" s="14">
        <f>4676881.98-D14-E14</f>
        <v>1561560.1000000008</v>
      </c>
      <c r="G14" s="14">
        <f>6192509.26-D14-E14-F14</f>
        <v>1515627.2799999991</v>
      </c>
      <c r="H14" s="15">
        <f>7703090.84-D14-E14-F14-G14</f>
        <v>1510581.5800000003</v>
      </c>
      <c r="I14" s="14"/>
      <c r="J14" s="14"/>
      <c r="K14" s="14"/>
      <c r="L14" s="14"/>
      <c r="M14" s="14"/>
      <c r="N14" s="14"/>
      <c r="O14" s="14"/>
      <c r="P14" s="14">
        <f>SUM(D14:O14)</f>
        <v>7703090.8399999999</v>
      </c>
      <c r="Q14" s="33"/>
    </row>
    <row r="15" spans="1:29" s="26" customFormat="1" x14ac:dyDescent="0.25">
      <c r="A15" s="4" t="s">
        <v>7</v>
      </c>
      <c r="B15" s="34">
        <f>SUM(B16:B24)</f>
        <v>93553444</v>
      </c>
      <c r="C15" s="34">
        <f>SUM(C16:C24)</f>
        <v>217529232.63999999</v>
      </c>
      <c r="D15" s="34">
        <f>SUM(D16:D24)</f>
        <v>2647987.7400000002</v>
      </c>
      <c r="E15" s="35">
        <f>SUM(E16:E24)</f>
        <v>3014879.3699999996</v>
      </c>
      <c r="F15" s="35">
        <f t="shared" ref="F15:O15" si="7">SUM(F16:F24)</f>
        <v>4560030.74</v>
      </c>
      <c r="G15" s="35">
        <f t="shared" si="7"/>
        <v>3374528.4200000004</v>
      </c>
      <c r="H15" s="34">
        <f t="shared" si="7"/>
        <v>4458967.6399999997</v>
      </c>
      <c r="I15" s="35">
        <f t="shared" si="7"/>
        <v>0</v>
      </c>
      <c r="J15" s="35">
        <f t="shared" si="7"/>
        <v>0</v>
      </c>
      <c r="K15" s="35">
        <f t="shared" si="7"/>
        <v>0</v>
      </c>
      <c r="L15" s="35">
        <f t="shared" si="7"/>
        <v>0</v>
      </c>
      <c r="M15" s="35">
        <f t="shared" si="7"/>
        <v>0</v>
      </c>
      <c r="N15" s="35">
        <f t="shared" si="7"/>
        <v>0</v>
      </c>
      <c r="O15" s="35">
        <f t="shared" si="7"/>
        <v>0</v>
      </c>
      <c r="P15" s="34">
        <f>SUM(D15:O15)</f>
        <v>18056393.91</v>
      </c>
      <c r="Q15" s="40"/>
    </row>
    <row r="16" spans="1:29" x14ac:dyDescent="0.25">
      <c r="A16" s="5" t="s">
        <v>8</v>
      </c>
      <c r="B16" s="37">
        <v>11154000</v>
      </c>
      <c r="C16" s="33">
        <v>11340000</v>
      </c>
      <c r="D16" s="37">
        <v>697146.07</v>
      </c>
      <c r="E16" s="14">
        <f>989530.75-D16</f>
        <v>292384.68000000005</v>
      </c>
      <c r="F16" s="14">
        <f>2103820.49-D16-E16</f>
        <v>1114289.7400000002</v>
      </c>
      <c r="G16" s="14">
        <f>2768090.68-D16-E16-F16</f>
        <v>664270.18999999994</v>
      </c>
      <c r="H16" s="15">
        <f>3468555.54-D16-E16-F16-G16</f>
        <v>700464.85999999987</v>
      </c>
      <c r="I16" s="14"/>
      <c r="J16" s="14"/>
      <c r="K16" s="14"/>
      <c r="L16" s="14"/>
      <c r="M16" s="14"/>
      <c r="N16" s="14"/>
      <c r="O16" s="14"/>
      <c r="P16" s="9">
        <f>SUM(D16:O16)</f>
        <v>3468555.54</v>
      </c>
    </row>
    <row r="17" spans="1:17" x14ac:dyDescent="0.25">
      <c r="A17" s="5" t="s">
        <v>9</v>
      </c>
      <c r="B17" s="37">
        <v>23987918</v>
      </c>
      <c r="C17" s="37">
        <v>22437918</v>
      </c>
      <c r="D17" s="37">
        <v>0</v>
      </c>
      <c r="E17" s="14">
        <f>250000-D17</f>
        <v>250000</v>
      </c>
      <c r="F17" s="14">
        <f>503620-D17-E17</f>
        <v>253620</v>
      </c>
      <c r="G17" s="14">
        <f>745440-D17-E17-F17</f>
        <v>241820</v>
      </c>
      <c r="H17" s="15">
        <f>1302320-D17-E17-F17-G17</f>
        <v>556880</v>
      </c>
      <c r="I17" s="14"/>
      <c r="J17" s="14"/>
      <c r="K17" s="14"/>
      <c r="L17" s="14"/>
      <c r="M17" s="14"/>
      <c r="N17" s="14"/>
      <c r="O17" s="14"/>
      <c r="P17" s="9">
        <f t="shared" ref="P17:P24" si="8">SUM(D17:O17)</f>
        <v>1302320</v>
      </c>
    </row>
    <row r="18" spans="1:17" x14ac:dyDescent="0.25">
      <c r="A18" s="5" t="s">
        <v>10</v>
      </c>
      <c r="B18" s="37">
        <v>3500000</v>
      </c>
      <c r="C18" s="33">
        <v>3000000</v>
      </c>
      <c r="D18" s="37">
        <v>632214.36</v>
      </c>
      <c r="E18" s="14">
        <f>708732.3-D18</f>
        <v>76517.940000000061</v>
      </c>
      <c r="F18" s="14">
        <f>861789.8-D18-E18</f>
        <v>153057.5</v>
      </c>
      <c r="G18" s="14">
        <f>861789.8-D18-E18-F18</f>
        <v>0</v>
      </c>
      <c r="H18" s="15">
        <f>861789.8-D18-E18-F18-G18</f>
        <v>0</v>
      </c>
      <c r="I18" s="14"/>
      <c r="J18" s="14"/>
      <c r="K18" s="14"/>
      <c r="L18" s="14"/>
      <c r="M18" s="14"/>
      <c r="N18" s="14"/>
      <c r="O18" s="14"/>
      <c r="P18" s="9">
        <f t="shared" si="8"/>
        <v>861789.8</v>
      </c>
    </row>
    <row r="19" spans="1:17" ht="18" customHeight="1" x14ac:dyDescent="0.25">
      <c r="A19" s="5" t="s">
        <v>11</v>
      </c>
      <c r="B19" s="37">
        <v>150000</v>
      </c>
      <c r="C19" s="37">
        <v>150000</v>
      </c>
      <c r="D19" s="37">
        <v>0</v>
      </c>
      <c r="E19" s="14">
        <f>99810.46-D19</f>
        <v>99810.46</v>
      </c>
      <c r="F19" s="14">
        <f>133974.05-D19-E19</f>
        <v>34163.589999999982</v>
      </c>
      <c r="G19" s="14">
        <f>133974.05-D19-E19-F19</f>
        <v>0</v>
      </c>
      <c r="H19" s="15">
        <f>133974.05-D19-E19-F19-G19</f>
        <v>0</v>
      </c>
      <c r="I19" s="14"/>
      <c r="J19" s="14"/>
      <c r="K19" s="14"/>
      <c r="L19" s="14"/>
      <c r="M19" s="14"/>
      <c r="N19" s="14"/>
      <c r="O19" s="14"/>
      <c r="P19" s="9">
        <f t="shared" si="8"/>
        <v>133974.04999999999</v>
      </c>
    </row>
    <row r="20" spans="1:17" x14ac:dyDescent="0.25">
      <c r="A20" s="5" t="s">
        <v>12</v>
      </c>
      <c r="B20" s="37">
        <v>5110220</v>
      </c>
      <c r="C20" s="37">
        <v>10246220</v>
      </c>
      <c r="D20" s="37">
        <v>0</v>
      </c>
      <c r="E20" s="14">
        <f t="shared" ref="E20" si="9">0-D20</f>
        <v>0</v>
      </c>
      <c r="F20" s="14">
        <f>208860-D20-E20</f>
        <v>208860</v>
      </c>
      <c r="G20" s="14">
        <f>287626.72-D20-E20-F20</f>
        <v>78766.719999999972</v>
      </c>
      <c r="H20" s="15">
        <f>445160.16-D20-E20-F20-G20</f>
        <v>157533.44</v>
      </c>
      <c r="I20" s="14"/>
      <c r="J20" s="14"/>
      <c r="K20" s="14"/>
      <c r="L20" s="14"/>
      <c r="M20" s="14"/>
      <c r="N20" s="14"/>
      <c r="O20" s="14"/>
      <c r="P20" s="9">
        <f t="shared" si="8"/>
        <v>445160.16</v>
      </c>
    </row>
    <row r="21" spans="1:17" x14ac:dyDescent="0.25">
      <c r="A21" s="5" t="s">
        <v>13</v>
      </c>
      <c r="B21" s="37">
        <v>21026958</v>
      </c>
      <c r="C21" s="33">
        <v>21026958</v>
      </c>
      <c r="D21" s="37">
        <v>1306827.31</v>
      </c>
      <c r="E21" s="14">
        <f>2613101.4-D21</f>
        <v>1306274.0899999999</v>
      </c>
      <c r="F21" s="14">
        <f>4213545.01-D21-E21</f>
        <v>1600443.6099999999</v>
      </c>
      <c r="G21" s="14">
        <f>5512307.88-D21-E21-F21</f>
        <v>1298762.8700000006</v>
      </c>
      <c r="H21" s="15">
        <f>6829688.82-D21-E21-F21-G21</f>
        <v>1317380.9399999995</v>
      </c>
      <c r="I21" s="14"/>
      <c r="J21" s="14"/>
      <c r="K21" s="14"/>
      <c r="L21" s="14"/>
      <c r="M21" s="14"/>
      <c r="N21" s="14"/>
      <c r="O21" s="14"/>
      <c r="P21" s="9">
        <f t="shared" si="8"/>
        <v>6829688.8200000003</v>
      </c>
    </row>
    <row r="22" spans="1:17" ht="30" x14ac:dyDescent="0.25">
      <c r="A22" s="5" t="s">
        <v>14</v>
      </c>
      <c r="B22" s="37">
        <v>4400324</v>
      </c>
      <c r="C22" s="37">
        <v>10700324</v>
      </c>
      <c r="D22" s="37">
        <v>0</v>
      </c>
      <c r="E22" s="14">
        <f>98010.8-D22</f>
        <v>98010.8</v>
      </c>
      <c r="F22" s="14">
        <f>155651.8-D22-E22</f>
        <v>57640.999999999985</v>
      </c>
      <c r="G22" s="14">
        <f>296071.8-D22-E22-F22</f>
        <v>140420</v>
      </c>
      <c r="H22" s="15">
        <f>322827.8-D22-E22-F22-G22</f>
        <v>26756</v>
      </c>
      <c r="I22" s="14"/>
      <c r="J22" s="14"/>
      <c r="K22" s="14"/>
      <c r="L22" s="14"/>
      <c r="M22" s="14"/>
      <c r="N22" s="14"/>
      <c r="O22" s="14"/>
      <c r="P22" s="9">
        <f t="shared" si="8"/>
        <v>322827.8</v>
      </c>
    </row>
    <row r="23" spans="1:17" ht="30" x14ac:dyDescent="0.25">
      <c r="A23" s="5" t="s">
        <v>15</v>
      </c>
      <c r="B23" s="37">
        <v>12224024</v>
      </c>
      <c r="C23" s="37">
        <v>117410812.64</v>
      </c>
      <c r="D23" s="37">
        <v>11800</v>
      </c>
      <c r="E23" s="14">
        <f>60300-D23</f>
        <v>48500</v>
      </c>
      <c r="F23" s="14">
        <f>321120-D23-E23</f>
        <v>260820</v>
      </c>
      <c r="G23" s="14">
        <f>361064-D23-E23-F23</f>
        <v>39944</v>
      </c>
      <c r="H23" s="15">
        <f>1093676-D23-E23-F23-G23</f>
        <v>732612</v>
      </c>
      <c r="I23" s="14"/>
      <c r="J23" s="14"/>
      <c r="K23" s="14"/>
      <c r="L23" s="14"/>
      <c r="M23" s="14"/>
      <c r="N23" s="14"/>
      <c r="O23" s="14"/>
      <c r="P23" s="9">
        <f t="shared" si="8"/>
        <v>1093676</v>
      </c>
    </row>
    <row r="24" spans="1:17" x14ac:dyDescent="0.25">
      <c r="A24" s="5" t="s">
        <v>38</v>
      </c>
      <c r="B24" s="37">
        <v>12000000</v>
      </c>
      <c r="C24" s="37">
        <v>21217000</v>
      </c>
      <c r="D24" s="37">
        <v>0</v>
      </c>
      <c r="E24" s="14">
        <f>843381.4-D24</f>
        <v>843381.4</v>
      </c>
      <c r="F24" s="14">
        <f>1720516.7-D24-E24</f>
        <v>877135.29999999993</v>
      </c>
      <c r="G24" s="14">
        <f>2631061.34-D24-E24-F24</f>
        <v>910544.64</v>
      </c>
      <c r="H24" s="15">
        <f>3598401.74-D24-E24-F24-G24</f>
        <v>967340.40000000049</v>
      </c>
      <c r="I24" s="14"/>
      <c r="J24" s="14"/>
      <c r="K24" s="14"/>
      <c r="L24" s="14"/>
      <c r="M24" s="14"/>
      <c r="N24" s="14"/>
      <c r="O24" s="14"/>
      <c r="P24" s="9">
        <f t="shared" si="8"/>
        <v>3598401.74</v>
      </c>
    </row>
    <row r="25" spans="1:17" s="26" customFormat="1" ht="19.5" customHeight="1" x14ac:dyDescent="0.25">
      <c r="A25" s="4" t="s">
        <v>16</v>
      </c>
      <c r="B25" s="34">
        <f>SUM(B26:B34)</f>
        <v>22041359</v>
      </c>
      <c r="C25" s="34">
        <f>SUM(C26:C34)</f>
        <v>27531359</v>
      </c>
      <c r="D25" s="34">
        <f>SUM(D26:D34)</f>
        <v>0</v>
      </c>
      <c r="E25" s="35">
        <f>SUM(E26:E34)</f>
        <v>1831958.49</v>
      </c>
      <c r="F25" s="35">
        <f t="shared" ref="F25:O25" si="10">SUM(F26:F34)</f>
        <v>2061719.14</v>
      </c>
      <c r="G25" s="35">
        <f t="shared" si="10"/>
        <v>137713.41999999998</v>
      </c>
      <c r="H25" s="34">
        <f t="shared" si="10"/>
        <v>4160</v>
      </c>
      <c r="I25" s="35">
        <f t="shared" si="10"/>
        <v>0</v>
      </c>
      <c r="J25" s="35">
        <f t="shared" si="10"/>
        <v>0</v>
      </c>
      <c r="K25" s="35">
        <f t="shared" si="10"/>
        <v>0</v>
      </c>
      <c r="L25" s="35">
        <f t="shared" si="10"/>
        <v>0</v>
      </c>
      <c r="M25" s="35">
        <f t="shared" si="10"/>
        <v>0</v>
      </c>
      <c r="N25" s="35">
        <f t="shared" si="10"/>
        <v>0</v>
      </c>
      <c r="O25" s="35">
        <f t="shared" si="10"/>
        <v>0</v>
      </c>
      <c r="P25" s="34">
        <f>SUM(D25:O25)</f>
        <v>4035551.05</v>
      </c>
      <c r="Q25" s="40"/>
    </row>
    <row r="26" spans="1:17" ht="21.75" customHeight="1" x14ac:dyDescent="0.25">
      <c r="A26" s="5" t="s">
        <v>17</v>
      </c>
      <c r="B26" s="37">
        <v>826848</v>
      </c>
      <c r="C26" s="33">
        <v>2926848</v>
      </c>
      <c r="D26" s="15"/>
      <c r="E26" s="14">
        <f>38675.04-D26</f>
        <v>38675.040000000001</v>
      </c>
      <c r="F26" s="14">
        <f>209481.94-D26-E26</f>
        <v>170806.9</v>
      </c>
      <c r="G26" s="14">
        <f>231955.74-D26-E26-F26</f>
        <v>22473.799999999988</v>
      </c>
      <c r="H26" s="15">
        <f>236115.74-D26-E26-F26-G26</f>
        <v>4160</v>
      </c>
      <c r="I26" s="14"/>
      <c r="J26" s="14"/>
      <c r="K26" s="14"/>
      <c r="L26" s="14"/>
      <c r="M26" s="14"/>
      <c r="N26" s="14"/>
      <c r="O26" s="14"/>
      <c r="P26" s="9">
        <f>SUM(D26:O26)</f>
        <v>236115.74</v>
      </c>
    </row>
    <row r="27" spans="1:17" x14ac:dyDescent="0.25">
      <c r="A27" s="5" t="s">
        <v>18</v>
      </c>
      <c r="B27" s="37">
        <v>805000</v>
      </c>
      <c r="C27" s="33">
        <v>2195000</v>
      </c>
      <c r="D27" s="15"/>
      <c r="E27" s="14">
        <f t="shared" ref="E27:E33" si="11">0-D27</f>
        <v>0</v>
      </c>
      <c r="F27" s="14">
        <f>265618-D27-E27</f>
        <v>265618</v>
      </c>
      <c r="G27" s="14">
        <f>265618-D27-E27-F27</f>
        <v>0</v>
      </c>
      <c r="H27" s="15">
        <f>265618-D27-E27-F27-G27</f>
        <v>0</v>
      </c>
      <c r="I27" s="14"/>
      <c r="J27" s="14"/>
      <c r="K27" s="14"/>
      <c r="L27" s="14"/>
      <c r="M27" s="14"/>
      <c r="N27" s="14"/>
      <c r="O27" s="14"/>
      <c r="P27" s="9">
        <f t="shared" ref="P27:P34" si="12">SUM(D27:O27)</f>
        <v>265618</v>
      </c>
    </row>
    <row r="28" spans="1:17" x14ac:dyDescent="0.25">
      <c r="A28" s="5" t="s">
        <v>19</v>
      </c>
      <c r="B28" s="37">
        <v>478200</v>
      </c>
      <c r="C28" s="37">
        <v>2278200</v>
      </c>
      <c r="D28" s="15"/>
      <c r="E28" s="14">
        <f t="shared" si="11"/>
        <v>0</v>
      </c>
      <c r="F28" s="14">
        <f>200543.83-D28-E28</f>
        <v>200543.83</v>
      </c>
      <c r="G28" s="14">
        <f>251283.83-D28-E28-F28</f>
        <v>50740</v>
      </c>
      <c r="H28" s="15">
        <f>251283.83-D28-E28-F28-G28</f>
        <v>0</v>
      </c>
      <c r="I28" s="14"/>
      <c r="J28" s="14"/>
      <c r="K28" s="14"/>
      <c r="L28" s="14"/>
      <c r="M28" s="14"/>
      <c r="N28" s="14"/>
      <c r="O28" s="14"/>
      <c r="P28" s="9">
        <f t="shared" si="12"/>
        <v>251283.83</v>
      </c>
    </row>
    <row r="29" spans="1:17" x14ac:dyDescent="0.25">
      <c r="A29" s="5" t="s">
        <v>20</v>
      </c>
      <c r="B29" s="37">
        <v>100000</v>
      </c>
      <c r="C29" s="33">
        <v>250000</v>
      </c>
      <c r="D29" s="15"/>
      <c r="E29" s="14">
        <f t="shared" si="11"/>
        <v>0</v>
      </c>
      <c r="F29" s="14">
        <f t="shared" ref="F29:F33" si="13">0-D29-E29</f>
        <v>0</v>
      </c>
      <c r="G29" s="14">
        <f t="shared" ref="G29:G33" si="14">0-D29-E29-F29</f>
        <v>0</v>
      </c>
      <c r="H29" s="15">
        <f t="shared" ref="H29:H33" si="15">0-D29-E29-F29-G29</f>
        <v>0</v>
      </c>
      <c r="I29" s="14"/>
      <c r="J29" s="14"/>
      <c r="K29" s="14"/>
      <c r="L29" s="14"/>
      <c r="M29" s="14"/>
      <c r="N29" s="14"/>
      <c r="O29" s="14"/>
      <c r="P29" s="9">
        <f t="shared" si="12"/>
        <v>0</v>
      </c>
    </row>
    <row r="30" spans="1:17" x14ac:dyDescent="0.25">
      <c r="A30" s="5" t="s">
        <v>21</v>
      </c>
      <c r="B30" s="37">
        <v>248000</v>
      </c>
      <c r="C30" s="37">
        <v>948000</v>
      </c>
      <c r="D30" s="15"/>
      <c r="E30" s="14">
        <f t="shared" si="11"/>
        <v>0</v>
      </c>
      <c r="F30" s="14">
        <f>30880-D30-E30</f>
        <v>30880</v>
      </c>
      <c r="G30" s="14">
        <f>30880-D30-E30-F30</f>
        <v>0</v>
      </c>
      <c r="H30" s="15">
        <f>30880-D30-E30-F30-G30</f>
        <v>0</v>
      </c>
      <c r="I30" s="14"/>
      <c r="J30" s="14"/>
      <c r="K30" s="14"/>
      <c r="L30" s="14"/>
      <c r="M30" s="14"/>
      <c r="N30" s="14"/>
      <c r="O30" s="14"/>
      <c r="P30" s="9">
        <f t="shared" si="12"/>
        <v>30880</v>
      </c>
    </row>
    <row r="31" spans="1:17" ht="30" x14ac:dyDescent="0.25">
      <c r="A31" s="5" t="s">
        <v>22</v>
      </c>
      <c r="B31" s="37">
        <v>3130</v>
      </c>
      <c r="C31" s="33">
        <v>1073130</v>
      </c>
      <c r="D31" s="15"/>
      <c r="E31" s="14">
        <f>172126.01-D31</f>
        <v>172126.01</v>
      </c>
      <c r="F31" s="14">
        <f>172126.01-D31-E31</f>
        <v>0</v>
      </c>
      <c r="G31" s="14">
        <f>172126.01-D31-E31-F31</f>
        <v>0</v>
      </c>
      <c r="H31" s="15">
        <f>172126.01-D31-E31-F31-G31</f>
        <v>0</v>
      </c>
      <c r="I31" s="14"/>
      <c r="J31" s="14"/>
      <c r="K31" s="14"/>
      <c r="L31" s="14"/>
      <c r="M31" s="14"/>
      <c r="N31" s="14"/>
      <c r="O31" s="14"/>
      <c r="P31" s="9">
        <f t="shared" si="12"/>
        <v>172126.01</v>
      </c>
    </row>
    <row r="32" spans="1:17" ht="30" x14ac:dyDescent="0.25">
      <c r="A32" s="5" t="s">
        <v>23</v>
      </c>
      <c r="B32" s="37">
        <v>9155250</v>
      </c>
      <c r="C32" s="37">
        <v>10540250</v>
      </c>
      <c r="D32" s="15"/>
      <c r="E32" s="14">
        <f>1600000-D32</f>
        <v>1600000</v>
      </c>
      <c r="F32" s="14">
        <f>2908400.42-D32-E32</f>
        <v>1308400.42</v>
      </c>
      <c r="G32" s="14">
        <f>2908400.42-D32-E32-F32</f>
        <v>0</v>
      </c>
      <c r="H32" s="15">
        <f>2908400.42-D32-E32-F32-G32</f>
        <v>0</v>
      </c>
      <c r="I32" s="14"/>
      <c r="J32" s="14"/>
      <c r="K32" s="14"/>
      <c r="L32" s="14"/>
      <c r="M32" s="14"/>
      <c r="N32" s="14"/>
      <c r="O32" s="14"/>
      <c r="P32" s="9">
        <f t="shared" si="12"/>
        <v>2908400.42</v>
      </c>
    </row>
    <row r="33" spans="1:17" ht="30" x14ac:dyDescent="0.25">
      <c r="A33" s="5" t="s">
        <v>39</v>
      </c>
      <c r="B33" s="38">
        <v>0</v>
      </c>
      <c r="C33" s="38">
        <v>0</v>
      </c>
      <c r="D33" s="15">
        <v>0</v>
      </c>
      <c r="E33" s="14">
        <f t="shared" si="11"/>
        <v>0</v>
      </c>
      <c r="F33" s="14">
        <f t="shared" si="13"/>
        <v>0</v>
      </c>
      <c r="G33" s="14">
        <f t="shared" si="14"/>
        <v>0</v>
      </c>
      <c r="H33" s="15">
        <f t="shared" si="15"/>
        <v>0</v>
      </c>
      <c r="I33" s="14"/>
      <c r="J33" s="14"/>
      <c r="K33" s="14"/>
      <c r="L33" s="14"/>
      <c r="M33" s="14"/>
      <c r="N33" s="14"/>
      <c r="O33" s="14"/>
      <c r="P33" s="9">
        <f t="shared" si="12"/>
        <v>0</v>
      </c>
    </row>
    <row r="34" spans="1:17" x14ac:dyDescent="0.25">
      <c r="A34" s="5" t="s">
        <v>24</v>
      </c>
      <c r="B34" s="37">
        <v>10424931</v>
      </c>
      <c r="C34" s="37">
        <v>7319931</v>
      </c>
      <c r="D34" s="15"/>
      <c r="E34" s="14">
        <f>21157.44-D34</f>
        <v>21157.439999999999</v>
      </c>
      <c r="F34" s="14">
        <f>106627.43-D34-E34</f>
        <v>85469.989999999991</v>
      </c>
      <c r="G34" s="14">
        <f>171127.05-D34-E34-F34</f>
        <v>64499.619999999995</v>
      </c>
      <c r="H34" s="15">
        <f>171127.05-D34-E34-F34-G34</f>
        <v>0</v>
      </c>
      <c r="I34" s="14"/>
      <c r="J34" s="14"/>
      <c r="K34" s="14"/>
      <c r="L34" s="14"/>
      <c r="M34" s="14"/>
      <c r="N34" s="14"/>
      <c r="O34" s="14"/>
      <c r="P34" s="9">
        <f t="shared" si="12"/>
        <v>171127.05</v>
      </c>
    </row>
    <row r="35" spans="1:17" s="26" customFormat="1" x14ac:dyDescent="0.25">
      <c r="A35" s="4" t="s">
        <v>25</v>
      </c>
      <c r="B35" s="34">
        <f>SUM(B36:B42)</f>
        <v>5760000</v>
      </c>
      <c r="C35" s="36">
        <f>SUM(C36:C42)</f>
        <v>4700000</v>
      </c>
      <c r="D35" s="34">
        <f>SUM(D36:D42)</f>
        <v>0</v>
      </c>
      <c r="E35" s="35">
        <f>SUM(E36:E42)</f>
        <v>0</v>
      </c>
      <c r="F35" s="35">
        <f t="shared" ref="F35" si="16">SUM(F36:F42)</f>
        <v>0</v>
      </c>
      <c r="G35" s="35">
        <f>SUM(G36:G42)</f>
        <v>0</v>
      </c>
      <c r="H35" s="34">
        <f>SUM(H36:H42)</f>
        <v>394717.83</v>
      </c>
      <c r="I35" s="35">
        <f>SUM(I36:I42)</f>
        <v>0</v>
      </c>
      <c r="J35" s="35">
        <f>SUM(J36:J42)</f>
        <v>0</v>
      </c>
      <c r="K35" s="35">
        <f t="shared" ref="K35" si="17">SUM(K36:K42)</f>
        <v>0</v>
      </c>
      <c r="L35" s="35">
        <f t="shared" ref="L35" si="18">SUM(L36:L42)</f>
        <v>0</v>
      </c>
      <c r="M35" s="35">
        <f t="shared" ref="M35" si="19">SUM(M36:M42)</f>
        <v>0</v>
      </c>
      <c r="N35" s="35">
        <f t="shared" ref="N35" si="20">SUM(N36:N42)</f>
        <v>0</v>
      </c>
      <c r="O35" s="35">
        <f t="shared" ref="O35" si="21">SUM(O36:O42)</f>
        <v>0</v>
      </c>
      <c r="P35" s="35">
        <f>SUM(D35:O35)</f>
        <v>394717.83</v>
      </c>
      <c r="Q35" s="10"/>
    </row>
    <row r="36" spans="1:17" ht="15" customHeight="1" x14ac:dyDescent="0.25">
      <c r="A36" s="5" t="s">
        <v>26</v>
      </c>
      <c r="B36" s="15">
        <v>5700000</v>
      </c>
      <c r="C36" s="14">
        <v>4700000</v>
      </c>
      <c r="D36" s="15">
        <v>0</v>
      </c>
      <c r="E36" s="14">
        <f t="shared" ref="E36:E42" si="22">0-D36</f>
        <v>0</v>
      </c>
      <c r="F36" s="14">
        <f t="shared" ref="F36:F42" si="23">0-D36-E36</f>
        <v>0</v>
      </c>
      <c r="G36" s="14">
        <f t="shared" ref="G36:G42" si="24">0-D36-E36-F36</f>
        <v>0</v>
      </c>
      <c r="H36" s="15">
        <f>394717.83-D36-E36-F36-G36</f>
        <v>394717.83</v>
      </c>
      <c r="I36" s="14"/>
      <c r="J36" s="14"/>
      <c r="K36" s="14"/>
      <c r="L36" s="14"/>
      <c r="M36" s="14"/>
      <c r="N36" s="14"/>
      <c r="O36" s="14"/>
      <c r="P36" s="9">
        <f>SUM(D36:O36)</f>
        <v>394717.83</v>
      </c>
    </row>
    <row r="37" spans="1:17" ht="24.95" customHeight="1" x14ac:dyDescent="0.25">
      <c r="A37" s="5" t="s">
        <v>40</v>
      </c>
      <c r="B37" s="15"/>
      <c r="C37" s="14"/>
      <c r="D37" s="15"/>
      <c r="E37" s="14">
        <f t="shared" si="22"/>
        <v>0</v>
      </c>
      <c r="F37" s="14">
        <f t="shared" si="23"/>
        <v>0</v>
      </c>
      <c r="G37" s="14">
        <f t="shared" si="24"/>
        <v>0</v>
      </c>
      <c r="H37" s="15">
        <f t="shared" ref="H37:H42" si="25">0-D37-E37-F37-G37</f>
        <v>0</v>
      </c>
      <c r="I37" s="14"/>
      <c r="J37" s="14"/>
      <c r="K37" s="14"/>
      <c r="L37" s="14"/>
      <c r="M37" s="14"/>
      <c r="N37" s="14"/>
      <c r="O37" s="14"/>
      <c r="P37" s="9">
        <f t="shared" ref="P37:P42" si="26">SUM(D37:O37)</f>
        <v>0</v>
      </c>
    </row>
    <row r="38" spans="1:17" ht="24.95" customHeight="1" x14ac:dyDescent="0.25">
      <c r="A38" s="5" t="s">
        <v>41</v>
      </c>
      <c r="B38" s="15"/>
      <c r="C38" s="14"/>
      <c r="D38" s="15"/>
      <c r="E38" s="14">
        <f t="shared" si="22"/>
        <v>0</v>
      </c>
      <c r="F38" s="14">
        <f t="shared" si="23"/>
        <v>0</v>
      </c>
      <c r="G38" s="14">
        <f t="shared" si="24"/>
        <v>0</v>
      </c>
      <c r="H38" s="15">
        <f t="shared" si="25"/>
        <v>0</v>
      </c>
      <c r="I38" s="14"/>
      <c r="J38" s="14"/>
      <c r="K38" s="14"/>
      <c r="L38" s="14"/>
      <c r="M38" s="14"/>
      <c r="N38" s="14"/>
      <c r="O38" s="14"/>
      <c r="P38" s="9">
        <f t="shared" si="26"/>
        <v>0</v>
      </c>
    </row>
    <row r="39" spans="1:17" ht="24.95" customHeight="1" x14ac:dyDescent="0.25">
      <c r="A39" s="5" t="s">
        <v>42</v>
      </c>
      <c r="B39" s="15">
        <v>60000</v>
      </c>
      <c r="C39" s="14">
        <v>0</v>
      </c>
      <c r="D39" s="15"/>
      <c r="E39" s="14">
        <f t="shared" si="22"/>
        <v>0</v>
      </c>
      <c r="F39" s="14">
        <f t="shared" si="23"/>
        <v>0</v>
      </c>
      <c r="G39" s="14">
        <f t="shared" si="24"/>
        <v>0</v>
      </c>
      <c r="H39" s="15">
        <f t="shared" si="25"/>
        <v>0</v>
      </c>
      <c r="I39" s="14"/>
      <c r="J39" s="14"/>
      <c r="K39" s="14"/>
      <c r="L39" s="14"/>
      <c r="M39" s="14"/>
      <c r="N39" s="14"/>
      <c r="O39" s="14"/>
      <c r="P39" s="9">
        <f t="shared" si="26"/>
        <v>0</v>
      </c>
    </row>
    <row r="40" spans="1:17" ht="24.95" customHeight="1" x14ac:dyDescent="0.25">
      <c r="A40" s="5" t="s">
        <v>43</v>
      </c>
      <c r="B40" s="15"/>
      <c r="C40" s="14"/>
      <c r="D40" s="15"/>
      <c r="E40" s="14">
        <f t="shared" si="22"/>
        <v>0</v>
      </c>
      <c r="F40" s="14">
        <f t="shared" si="23"/>
        <v>0</v>
      </c>
      <c r="G40" s="14">
        <f t="shared" si="24"/>
        <v>0</v>
      </c>
      <c r="H40" s="15">
        <f t="shared" si="25"/>
        <v>0</v>
      </c>
      <c r="I40" s="14"/>
      <c r="J40" s="14"/>
      <c r="K40" s="14"/>
      <c r="L40" s="14"/>
      <c r="M40" s="14"/>
      <c r="N40" s="14"/>
      <c r="O40" s="14"/>
      <c r="P40" s="9">
        <f t="shared" si="26"/>
        <v>0</v>
      </c>
    </row>
    <row r="41" spans="1:17" ht="15" customHeight="1" x14ac:dyDescent="0.25">
      <c r="A41" s="5" t="s">
        <v>27</v>
      </c>
      <c r="B41" s="15"/>
      <c r="C41" s="14"/>
      <c r="D41" s="15"/>
      <c r="E41" s="14">
        <f t="shared" si="22"/>
        <v>0</v>
      </c>
      <c r="F41" s="14">
        <f t="shared" si="23"/>
        <v>0</v>
      </c>
      <c r="G41" s="14">
        <f t="shared" si="24"/>
        <v>0</v>
      </c>
      <c r="H41" s="15">
        <f t="shared" si="25"/>
        <v>0</v>
      </c>
      <c r="I41" s="14"/>
      <c r="J41" s="14"/>
      <c r="K41" s="14"/>
      <c r="L41" s="14"/>
      <c r="M41" s="14"/>
      <c r="N41" s="14"/>
      <c r="O41" s="14"/>
      <c r="P41" s="9">
        <f t="shared" si="26"/>
        <v>0</v>
      </c>
    </row>
    <row r="42" spans="1:17" ht="24.95" customHeight="1" x14ac:dyDescent="0.25">
      <c r="A42" s="5" t="s">
        <v>44</v>
      </c>
      <c r="B42" s="15"/>
      <c r="C42" s="14"/>
      <c r="D42" s="15"/>
      <c r="E42" s="14">
        <f t="shared" si="22"/>
        <v>0</v>
      </c>
      <c r="F42" s="14">
        <f t="shared" si="23"/>
        <v>0</v>
      </c>
      <c r="G42" s="14">
        <f t="shared" si="24"/>
        <v>0</v>
      </c>
      <c r="H42" s="15">
        <f t="shared" si="25"/>
        <v>0</v>
      </c>
      <c r="I42" s="14"/>
      <c r="J42" s="14"/>
      <c r="K42" s="14"/>
      <c r="L42" s="14"/>
      <c r="M42" s="14"/>
      <c r="N42" s="14"/>
      <c r="O42" s="14"/>
      <c r="P42" s="9">
        <f t="shared" si="26"/>
        <v>0</v>
      </c>
    </row>
    <row r="43" spans="1:17" s="26" customFormat="1" x14ac:dyDescent="0.25">
      <c r="A43" s="4" t="s">
        <v>45</v>
      </c>
      <c r="B43" s="34">
        <f>SUM(B44:B50)</f>
        <v>0</v>
      </c>
      <c r="C43" s="36">
        <f t="shared" ref="C43:O43" si="27">SUM(C44:C50)</f>
        <v>0</v>
      </c>
      <c r="D43" s="34">
        <f t="shared" si="27"/>
        <v>0</v>
      </c>
      <c r="E43" s="35">
        <f>SUM(E44:E50)</f>
        <v>0</v>
      </c>
      <c r="F43" s="35">
        <f t="shared" si="27"/>
        <v>0</v>
      </c>
      <c r="G43" s="35">
        <f t="shared" si="27"/>
        <v>0</v>
      </c>
      <c r="H43" s="34">
        <f t="shared" si="27"/>
        <v>0</v>
      </c>
      <c r="I43" s="35">
        <f t="shared" si="27"/>
        <v>0</v>
      </c>
      <c r="J43" s="35">
        <f t="shared" si="27"/>
        <v>0</v>
      </c>
      <c r="K43" s="35">
        <f t="shared" si="27"/>
        <v>0</v>
      </c>
      <c r="L43" s="35">
        <f t="shared" si="27"/>
        <v>0</v>
      </c>
      <c r="M43" s="35">
        <f t="shared" si="27"/>
        <v>0</v>
      </c>
      <c r="N43" s="35">
        <f t="shared" si="27"/>
        <v>0</v>
      </c>
      <c r="O43" s="35">
        <f t="shared" si="27"/>
        <v>0</v>
      </c>
      <c r="P43" s="35">
        <f>SUM(D43:O43)</f>
        <v>0</v>
      </c>
      <c r="Q43" s="10"/>
    </row>
    <row r="44" spans="1:17" x14ac:dyDescent="0.25">
      <c r="A44" s="5" t="s">
        <v>46</v>
      </c>
      <c r="B44" s="15"/>
      <c r="C44" s="14">
        <v>0</v>
      </c>
      <c r="D44" s="15"/>
      <c r="E44" s="14">
        <f t="shared" ref="E44:E50" si="28">0-D44</f>
        <v>0</v>
      </c>
      <c r="F44" s="14">
        <f t="shared" ref="F44:F50" si="29">0-D44-E44</f>
        <v>0</v>
      </c>
      <c r="G44" s="14">
        <f t="shared" ref="G44:G50" si="30">0-D44-E44-F44</f>
        <v>0</v>
      </c>
      <c r="H44" s="15"/>
      <c r="I44" s="14"/>
      <c r="J44" s="14"/>
      <c r="K44" s="14"/>
      <c r="L44" s="14"/>
      <c r="M44" s="14"/>
      <c r="N44" s="14"/>
      <c r="O44" s="14"/>
      <c r="P44" s="9">
        <f>SUM(D44:O44)</f>
        <v>0</v>
      </c>
    </row>
    <row r="45" spans="1:17" ht="24.95" customHeight="1" x14ac:dyDescent="0.25">
      <c r="A45" s="5" t="s">
        <v>47</v>
      </c>
      <c r="B45" s="15"/>
      <c r="C45" s="14"/>
      <c r="D45" s="15"/>
      <c r="E45" s="14">
        <f t="shared" si="28"/>
        <v>0</v>
      </c>
      <c r="F45" s="14">
        <f t="shared" si="29"/>
        <v>0</v>
      </c>
      <c r="G45" s="14">
        <f t="shared" si="30"/>
        <v>0</v>
      </c>
      <c r="H45" s="15"/>
      <c r="I45" s="14"/>
      <c r="J45" s="14"/>
      <c r="K45" s="14"/>
      <c r="L45" s="14"/>
      <c r="M45" s="14"/>
      <c r="N45" s="14"/>
      <c r="O45" s="14"/>
      <c r="P45" s="9">
        <f t="shared" ref="P45:P50" si="31">SUM(D45:O45)</f>
        <v>0</v>
      </c>
    </row>
    <row r="46" spans="1:17" ht="24.95" customHeight="1" x14ac:dyDescent="0.25">
      <c r="A46" s="5" t="s">
        <v>48</v>
      </c>
      <c r="B46" s="15"/>
      <c r="C46" s="14"/>
      <c r="D46" s="15"/>
      <c r="E46" s="14">
        <f t="shared" si="28"/>
        <v>0</v>
      </c>
      <c r="F46" s="14">
        <f t="shared" si="29"/>
        <v>0</v>
      </c>
      <c r="G46" s="14">
        <f t="shared" si="30"/>
        <v>0</v>
      </c>
      <c r="H46" s="15"/>
      <c r="I46" s="14"/>
      <c r="J46" s="14"/>
      <c r="K46" s="14"/>
      <c r="L46" s="14"/>
      <c r="M46" s="14"/>
      <c r="N46" s="14"/>
      <c r="O46" s="14"/>
      <c r="P46" s="9">
        <f t="shared" si="31"/>
        <v>0</v>
      </c>
    </row>
    <row r="47" spans="1:17" ht="24.95" customHeight="1" x14ac:dyDescent="0.25">
      <c r="A47" s="5" t="s">
        <v>49</v>
      </c>
      <c r="B47" s="15">
        <v>0</v>
      </c>
      <c r="C47" s="14">
        <v>0</v>
      </c>
      <c r="D47" s="15"/>
      <c r="E47" s="14">
        <f t="shared" si="28"/>
        <v>0</v>
      </c>
      <c r="F47" s="14">
        <f t="shared" si="29"/>
        <v>0</v>
      </c>
      <c r="G47" s="14">
        <f t="shared" si="30"/>
        <v>0</v>
      </c>
      <c r="H47" s="15"/>
      <c r="I47" s="14"/>
      <c r="J47" s="14"/>
      <c r="K47" s="14"/>
      <c r="L47" s="14"/>
      <c r="M47" s="14"/>
      <c r="N47" s="14"/>
      <c r="O47" s="14"/>
      <c r="P47" s="9">
        <f t="shared" si="31"/>
        <v>0</v>
      </c>
    </row>
    <row r="48" spans="1:17" ht="24.95" customHeight="1" x14ac:dyDescent="0.25">
      <c r="A48" s="5" t="s">
        <v>50</v>
      </c>
      <c r="B48" s="15"/>
      <c r="C48" s="14"/>
      <c r="D48" s="15"/>
      <c r="E48" s="14">
        <f t="shared" si="28"/>
        <v>0</v>
      </c>
      <c r="F48" s="14">
        <f t="shared" si="29"/>
        <v>0</v>
      </c>
      <c r="G48" s="14">
        <f t="shared" si="30"/>
        <v>0</v>
      </c>
      <c r="H48" s="15"/>
      <c r="I48" s="14"/>
      <c r="J48" s="14"/>
      <c r="K48" s="14"/>
      <c r="L48" s="14"/>
      <c r="M48" s="14"/>
      <c r="N48" s="14"/>
      <c r="O48" s="14"/>
      <c r="P48" s="9">
        <f t="shared" si="31"/>
        <v>0</v>
      </c>
    </row>
    <row r="49" spans="1:17" x14ac:dyDescent="0.25">
      <c r="A49" s="5" t="s">
        <v>51</v>
      </c>
      <c r="B49" s="15"/>
      <c r="C49" s="14"/>
      <c r="D49" s="15"/>
      <c r="E49" s="14">
        <f t="shared" si="28"/>
        <v>0</v>
      </c>
      <c r="F49" s="14">
        <f t="shared" si="29"/>
        <v>0</v>
      </c>
      <c r="G49" s="14">
        <f t="shared" si="30"/>
        <v>0</v>
      </c>
      <c r="H49" s="15"/>
      <c r="I49" s="14"/>
      <c r="J49" s="14"/>
      <c r="K49" s="14"/>
      <c r="L49" s="14"/>
      <c r="M49" s="14"/>
      <c r="N49" s="14"/>
      <c r="O49" s="14"/>
      <c r="P49" s="9">
        <f t="shared" si="31"/>
        <v>0</v>
      </c>
    </row>
    <row r="50" spans="1:17" ht="24.95" customHeight="1" x14ac:dyDescent="0.25">
      <c r="A50" s="5" t="s">
        <v>52</v>
      </c>
      <c r="B50" s="15"/>
      <c r="C50" s="14"/>
      <c r="D50" s="15"/>
      <c r="E50" s="14">
        <f t="shared" si="28"/>
        <v>0</v>
      </c>
      <c r="F50" s="14">
        <f t="shared" si="29"/>
        <v>0</v>
      </c>
      <c r="G50" s="14">
        <f t="shared" si="30"/>
        <v>0</v>
      </c>
      <c r="H50" s="15"/>
      <c r="I50" s="14"/>
      <c r="J50" s="14"/>
      <c r="K50" s="14"/>
      <c r="L50" s="14"/>
      <c r="M50" s="14"/>
      <c r="N50" s="14"/>
      <c r="O50" s="14"/>
      <c r="P50" s="9">
        <f t="shared" si="31"/>
        <v>0</v>
      </c>
    </row>
    <row r="51" spans="1:17" s="26" customFormat="1" x14ac:dyDescent="0.25">
      <c r="A51" s="4" t="s">
        <v>28</v>
      </c>
      <c r="B51" s="34">
        <f>SUM(B52:B60)</f>
        <v>624313</v>
      </c>
      <c r="C51" s="34">
        <f>SUM(C52:C60)</f>
        <v>13738313</v>
      </c>
      <c r="D51" s="34">
        <f>SUM(D52:D60)</f>
        <v>0</v>
      </c>
      <c r="E51" s="35">
        <f>SUM(E52:E60)</f>
        <v>0</v>
      </c>
      <c r="F51" s="35">
        <f t="shared" ref="F51:O51" si="32">SUM(F52:F60)</f>
        <v>0</v>
      </c>
      <c r="G51" s="35">
        <f t="shared" si="32"/>
        <v>0</v>
      </c>
      <c r="H51" s="34">
        <f t="shared" si="32"/>
        <v>24372.9</v>
      </c>
      <c r="I51" s="35">
        <f t="shared" si="32"/>
        <v>0</v>
      </c>
      <c r="J51" s="35">
        <f t="shared" si="32"/>
        <v>0</v>
      </c>
      <c r="K51" s="35">
        <f t="shared" si="32"/>
        <v>0</v>
      </c>
      <c r="L51" s="35">
        <f t="shared" si="32"/>
        <v>0</v>
      </c>
      <c r="M51" s="35">
        <f t="shared" si="32"/>
        <v>0</v>
      </c>
      <c r="N51" s="35">
        <f t="shared" si="32"/>
        <v>0</v>
      </c>
      <c r="O51" s="35">
        <f t="shared" si="32"/>
        <v>0</v>
      </c>
      <c r="P51" s="34">
        <f>SUM(D51:O51)</f>
        <v>24372.9</v>
      </c>
      <c r="Q51" s="40"/>
    </row>
    <row r="52" spans="1:17" x14ac:dyDescent="0.25">
      <c r="A52" s="5" t="s">
        <v>29</v>
      </c>
      <c r="B52" s="37">
        <v>262160</v>
      </c>
      <c r="C52" s="37">
        <v>4862160</v>
      </c>
      <c r="D52" s="15"/>
      <c r="E52" s="14">
        <f t="shared" ref="E52:E60" si="33">0-D52</f>
        <v>0</v>
      </c>
      <c r="F52" s="14">
        <f t="shared" ref="F52:F60" si="34">0-D52-E52</f>
        <v>0</v>
      </c>
      <c r="G52" s="14">
        <f t="shared" ref="G52:G60" si="35">0-D52-E52-F52</f>
        <v>0</v>
      </c>
      <c r="H52" s="15">
        <f>24372.9-D52-E52-F52-G52</f>
        <v>24372.9</v>
      </c>
      <c r="I52" s="14"/>
      <c r="J52" s="14"/>
      <c r="K52" s="14"/>
      <c r="L52" s="14"/>
      <c r="M52" s="14"/>
      <c r="N52" s="14"/>
      <c r="O52" s="14"/>
      <c r="P52" s="9">
        <f>SUM(D52:O52)</f>
        <v>24372.9</v>
      </c>
    </row>
    <row r="53" spans="1:17" ht="15" customHeight="1" x14ac:dyDescent="0.25">
      <c r="A53" s="5" t="s">
        <v>30</v>
      </c>
      <c r="B53" s="37">
        <v>300000</v>
      </c>
      <c r="C53" s="33">
        <v>764000</v>
      </c>
      <c r="D53" s="15"/>
      <c r="E53" s="14">
        <f t="shared" si="33"/>
        <v>0</v>
      </c>
      <c r="F53" s="14">
        <f t="shared" si="34"/>
        <v>0</v>
      </c>
      <c r="G53" s="14">
        <f t="shared" si="35"/>
        <v>0</v>
      </c>
      <c r="H53" s="15">
        <f t="shared" ref="H53:H60" si="36">0-D53-E53-F53-G53</f>
        <v>0</v>
      </c>
      <c r="I53" s="14"/>
      <c r="J53" s="14"/>
      <c r="K53" s="14"/>
      <c r="L53" s="14"/>
      <c r="M53" s="14"/>
      <c r="N53" s="14"/>
      <c r="O53" s="14"/>
      <c r="P53" s="9">
        <f t="shared" ref="P53:P59" si="37">SUM(D53:O53)</f>
        <v>0</v>
      </c>
    </row>
    <row r="54" spans="1:17" ht="24.95" customHeight="1" x14ac:dyDescent="0.25">
      <c r="A54" s="5" t="s">
        <v>31</v>
      </c>
      <c r="B54" s="37">
        <v>0</v>
      </c>
      <c r="C54" s="33">
        <v>0</v>
      </c>
      <c r="D54" s="15"/>
      <c r="E54" s="14">
        <f t="shared" si="33"/>
        <v>0</v>
      </c>
      <c r="F54" s="14">
        <f t="shared" si="34"/>
        <v>0</v>
      </c>
      <c r="G54" s="14">
        <f t="shared" si="35"/>
        <v>0</v>
      </c>
      <c r="H54" s="15">
        <f t="shared" si="36"/>
        <v>0</v>
      </c>
      <c r="I54" s="14"/>
      <c r="J54" s="14"/>
      <c r="K54" s="14"/>
      <c r="L54" s="14"/>
      <c r="M54" s="14"/>
      <c r="N54" s="14"/>
      <c r="O54" s="14"/>
      <c r="P54" s="9">
        <f t="shared" si="37"/>
        <v>0</v>
      </c>
    </row>
    <row r="55" spans="1:17" ht="24.95" customHeight="1" x14ac:dyDescent="0.25">
      <c r="A55" s="5" t="s">
        <v>32</v>
      </c>
      <c r="B55" s="37">
        <v>0</v>
      </c>
      <c r="C55" s="33">
        <v>0</v>
      </c>
      <c r="D55" s="15"/>
      <c r="E55" s="14">
        <f t="shared" si="33"/>
        <v>0</v>
      </c>
      <c r="F55" s="14">
        <f t="shared" si="34"/>
        <v>0</v>
      </c>
      <c r="G55" s="14">
        <f t="shared" si="35"/>
        <v>0</v>
      </c>
      <c r="H55" s="15">
        <f t="shared" si="36"/>
        <v>0</v>
      </c>
      <c r="I55" s="14"/>
      <c r="J55" s="14"/>
      <c r="K55" s="14"/>
      <c r="L55" s="14"/>
      <c r="M55" s="14"/>
      <c r="N55" s="14"/>
      <c r="O55" s="14"/>
      <c r="P55" s="9">
        <f t="shared" si="37"/>
        <v>0</v>
      </c>
    </row>
    <row r="56" spans="1:17" x14ac:dyDescent="0.25">
      <c r="A56" s="5" t="s">
        <v>33</v>
      </c>
      <c r="B56" s="37">
        <v>62153</v>
      </c>
      <c r="C56" s="37">
        <v>3112153</v>
      </c>
      <c r="D56" s="15"/>
      <c r="E56" s="14">
        <f t="shared" si="33"/>
        <v>0</v>
      </c>
      <c r="F56" s="14">
        <f t="shared" si="34"/>
        <v>0</v>
      </c>
      <c r="G56" s="14">
        <f t="shared" si="35"/>
        <v>0</v>
      </c>
      <c r="H56" s="15">
        <f t="shared" si="36"/>
        <v>0</v>
      </c>
      <c r="I56" s="14"/>
      <c r="J56" s="14"/>
      <c r="K56" s="14"/>
      <c r="L56" s="14"/>
      <c r="M56" s="14"/>
      <c r="N56" s="14"/>
      <c r="O56" s="14"/>
      <c r="P56" s="9">
        <f t="shared" si="37"/>
        <v>0</v>
      </c>
    </row>
    <row r="57" spans="1:17" x14ac:dyDescent="0.25">
      <c r="A57" s="5" t="s">
        <v>53</v>
      </c>
      <c r="B57" s="37">
        <v>0</v>
      </c>
      <c r="C57" s="33">
        <v>1500000</v>
      </c>
      <c r="D57" s="15"/>
      <c r="E57" s="14">
        <f t="shared" si="33"/>
        <v>0</v>
      </c>
      <c r="F57" s="14">
        <f t="shared" si="34"/>
        <v>0</v>
      </c>
      <c r="G57" s="14">
        <f t="shared" si="35"/>
        <v>0</v>
      </c>
      <c r="H57" s="15">
        <f t="shared" si="36"/>
        <v>0</v>
      </c>
      <c r="I57" s="14"/>
      <c r="J57" s="14"/>
      <c r="K57" s="14"/>
      <c r="L57" s="14"/>
      <c r="M57" s="14"/>
      <c r="N57" s="14"/>
      <c r="O57" s="14"/>
      <c r="P57" s="9">
        <f t="shared" si="37"/>
        <v>0</v>
      </c>
    </row>
    <row r="58" spans="1:17" x14ac:dyDescent="0.25">
      <c r="A58" s="5" t="s">
        <v>54</v>
      </c>
      <c r="B58" s="37">
        <v>0</v>
      </c>
      <c r="C58" s="33">
        <v>0</v>
      </c>
      <c r="D58" s="15"/>
      <c r="E58" s="14">
        <f t="shared" si="33"/>
        <v>0</v>
      </c>
      <c r="F58" s="14">
        <f t="shared" si="34"/>
        <v>0</v>
      </c>
      <c r="G58" s="14">
        <f t="shared" si="35"/>
        <v>0</v>
      </c>
      <c r="H58" s="15">
        <f t="shared" si="36"/>
        <v>0</v>
      </c>
      <c r="I58" s="14"/>
      <c r="J58" s="14"/>
      <c r="K58" s="14"/>
      <c r="L58" s="14"/>
      <c r="M58" s="14"/>
      <c r="N58" s="14"/>
      <c r="O58" s="14"/>
      <c r="P58" s="9">
        <f t="shared" si="37"/>
        <v>0</v>
      </c>
    </row>
    <row r="59" spans="1:17" x14ac:dyDescent="0.25">
      <c r="A59" s="5" t="s">
        <v>34</v>
      </c>
      <c r="B59" s="37"/>
      <c r="C59" s="33">
        <v>2500000</v>
      </c>
      <c r="D59" s="15"/>
      <c r="E59" s="14">
        <f t="shared" si="33"/>
        <v>0</v>
      </c>
      <c r="F59" s="14">
        <f t="shared" si="34"/>
        <v>0</v>
      </c>
      <c r="G59" s="14">
        <f t="shared" si="35"/>
        <v>0</v>
      </c>
      <c r="H59" s="15">
        <f t="shared" si="36"/>
        <v>0</v>
      </c>
      <c r="I59" s="14"/>
      <c r="J59" s="14"/>
      <c r="K59" s="14"/>
      <c r="L59" s="14"/>
      <c r="M59" s="14"/>
      <c r="N59" s="14"/>
      <c r="O59" s="14"/>
      <c r="P59" s="9">
        <f t="shared" si="37"/>
        <v>0</v>
      </c>
    </row>
    <row r="60" spans="1:17" ht="24.95" customHeight="1" x14ac:dyDescent="0.25">
      <c r="A60" s="5" t="s">
        <v>55</v>
      </c>
      <c r="B60" s="37">
        <v>0</v>
      </c>
      <c r="C60" s="33">
        <v>1000000</v>
      </c>
      <c r="D60" s="15"/>
      <c r="E60" s="14">
        <f t="shared" si="33"/>
        <v>0</v>
      </c>
      <c r="F60" s="14">
        <f t="shared" si="34"/>
        <v>0</v>
      </c>
      <c r="G60" s="14">
        <f t="shared" si="35"/>
        <v>0</v>
      </c>
      <c r="H60" s="15">
        <f t="shared" si="36"/>
        <v>0</v>
      </c>
      <c r="I60" s="14"/>
      <c r="J60" s="14"/>
      <c r="K60" s="14"/>
      <c r="L60" s="14"/>
      <c r="M60" s="14"/>
      <c r="N60" s="14"/>
      <c r="O60" s="14"/>
      <c r="P60" s="9">
        <f>SUM(D60:O60)</f>
        <v>0</v>
      </c>
    </row>
    <row r="61" spans="1:17" s="26" customFormat="1" x14ac:dyDescent="0.25">
      <c r="A61" s="4" t="s">
        <v>56</v>
      </c>
      <c r="B61" s="34">
        <f>SUM(B62:B65)</f>
        <v>0</v>
      </c>
      <c r="C61" s="36">
        <f t="shared" ref="C61:D61" si="38">SUM(C62:C65)</f>
        <v>0</v>
      </c>
      <c r="D61" s="34">
        <f t="shared" si="38"/>
        <v>0</v>
      </c>
      <c r="E61" s="35">
        <f>SUM(E62:E65)</f>
        <v>0</v>
      </c>
      <c r="F61" s="35">
        <f t="shared" ref="F61:O61" si="39">SUM(F62:F65)</f>
        <v>0</v>
      </c>
      <c r="G61" s="35">
        <f t="shared" si="39"/>
        <v>0</v>
      </c>
      <c r="H61" s="34">
        <f t="shared" si="39"/>
        <v>0</v>
      </c>
      <c r="I61" s="35">
        <f t="shared" si="39"/>
        <v>0</v>
      </c>
      <c r="J61" s="35">
        <f t="shared" si="39"/>
        <v>0</v>
      </c>
      <c r="K61" s="35">
        <f t="shared" si="39"/>
        <v>0</v>
      </c>
      <c r="L61" s="35">
        <f t="shared" si="39"/>
        <v>0</v>
      </c>
      <c r="M61" s="35">
        <f t="shared" si="39"/>
        <v>0</v>
      </c>
      <c r="N61" s="35">
        <f t="shared" si="39"/>
        <v>0</v>
      </c>
      <c r="O61" s="35">
        <f t="shared" si="39"/>
        <v>0</v>
      </c>
      <c r="P61" s="35">
        <f>SUM(D61:O61)</f>
        <v>0</v>
      </c>
      <c r="Q61" s="10"/>
    </row>
    <row r="62" spans="1:17" ht="15" customHeight="1" x14ac:dyDescent="0.25">
      <c r="A62" s="5" t="s">
        <v>57</v>
      </c>
      <c r="B62" s="15"/>
      <c r="C62" s="14"/>
      <c r="D62" s="15"/>
      <c r="F62" s="14">
        <f t="shared" ref="F62:F65" si="40">0-D62-E62</f>
        <v>0</v>
      </c>
      <c r="G62" s="9">
        <f t="shared" ref="G62:G65" si="41">0-D62-E62-F62</f>
        <v>0</v>
      </c>
      <c r="H62" s="15"/>
      <c r="P62" s="9">
        <f>SUM(D62:O62)</f>
        <v>0</v>
      </c>
    </row>
    <row r="63" spans="1:17" ht="15" customHeight="1" x14ac:dyDescent="0.25">
      <c r="A63" s="5" t="s">
        <v>58</v>
      </c>
      <c r="B63" s="15">
        <v>0</v>
      </c>
      <c r="C63" s="14">
        <v>0</v>
      </c>
      <c r="D63" s="15"/>
      <c r="F63" s="14">
        <f t="shared" si="40"/>
        <v>0</v>
      </c>
      <c r="G63" s="9">
        <f t="shared" si="41"/>
        <v>0</v>
      </c>
      <c r="H63" s="15"/>
      <c r="P63" s="9">
        <f t="shared" ref="P63:P65" si="42">SUM(D63:O63)</f>
        <v>0</v>
      </c>
    </row>
    <row r="64" spans="1:17" ht="15" customHeight="1" x14ac:dyDescent="0.25">
      <c r="A64" s="5" t="s">
        <v>59</v>
      </c>
      <c r="B64" s="15">
        <v>0</v>
      </c>
      <c r="C64" s="14">
        <v>0</v>
      </c>
      <c r="D64" s="15"/>
      <c r="F64" s="14">
        <f t="shared" si="40"/>
        <v>0</v>
      </c>
      <c r="G64" s="9">
        <f t="shared" si="41"/>
        <v>0</v>
      </c>
      <c r="H64" s="15"/>
      <c r="P64" s="9">
        <f t="shared" si="42"/>
        <v>0</v>
      </c>
    </row>
    <row r="65" spans="1:17" ht="24.95" customHeight="1" x14ac:dyDescent="0.25">
      <c r="A65" s="5" t="s">
        <v>60</v>
      </c>
      <c r="B65" s="15">
        <v>0</v>
      </c>
      <c r="C65" s="14">
        <v>0</v>
      </c>
      <c r="D65" s="15"/>
      <c r="F65" s="14">
        <f t="shared" si="40"/>
        <v>0</v>
      </c>
      <c r="G65" s="9">
        <f t="shared" si="41"/>
        <v>0</v>
      </c>
      <c r="H65" s="15"/>
      <c r="P65" s="9">
        <f t="shared" si="42"/>
        <v>0</v>
      </c>
    </row>
    <row r="66" spans="1:17" s="26" customFormat="1" ht="30" x14ac:dyDescent="0.25">
      <c r="A66" s="4" t="s">
        <v>61</v>
      </c>
      <c r="B66" s="34">
        <f>SUM(B67:B68)</f>
        <v>0</v>
      </c>
      <c r="C66" s="36">
        <f t="shared" ref="C66:O66" si="43">SUM(C67:C68)</f>
        <v>0</v>
      </c>
      <c r="D66" s="34">
        <f t="shared" si="43"/>
        <v>0</v>
      </c>
      <c r="E66" s="35">
        <f>SUM(E67:E68)</f>
        <v>0</v>
      </c>
      <c r="F66" s="35">
        <f t="shared" si="43"/>
        <v>0</v>
      </c>
      <c r="G66" s="35">
        <f t="shared" si="43"/>
        <v>0</v>
      </c>
      <c r="H66" s="34">
        <f t="shared" si="43"/>
        <v>0</v>
      </c>
      <c r="I66" s="35">
        <f t="shared" si="43"/>
        <v>0</v>
      </c>
      <c r="J66" s="35">
        <f t="shared" si="43"/>
        <v>0</v>
      </c>
      <c r="K66" s="35">
        <f t="shared" si="43"/>
        <v>0</v>
      </c>
      <c r="L66" s="35">
        <f t="shared" si="43"/>
        <v>0</v>
      </c>
      <c r="M66" s="35">
        <f t="shared" si="43"/>
        <v>0</v>
      </c>
      <c r="N66" s="35">
        <f t="shared" si="43"/>
        <v>0</v>
      </c>
      <c r="O66" s="35">
        <f t="shared" si="43"/>
        <v>0</v>
      </c>
      <c r="P66" s="35">
        <f>SUM(D66:O66)</f>
        <v>0</v>
      </c>
      <c r="Q66" s="10"/>
    </row>
    <row r="67" spans="1:17" x14ac:dyDescent="0.25">
      <c r="A67" s="5" t="s">
        <v>62</v>
      </c>
      <c r="B67" s="15">
        <v>0</v>
      </c>
      <c r="C67" s="14">
        <v>0</v>
      </c>
      <c r="D67" s="15">
        <v>0</v>
      </c>
      <c r="F67" s="14">
        <f t="shared" ref="F67:F72" si="44">0-D67-E67</f>
        <v>0</v>
      </c>
      <c r="G67" s="9">
        <f t="shared" ref="G67:G72" si="45">0-D67-E67-F67</f>
        <v>0</v>
      </c>
      <c r="H67" s="15"/>
      <c r="P67" s="9">
        <f>SUM(D67:O67)</f>
        <v>0</v>
      </c>
    </row>
    <row r="68" spans="1:17" ht="30" x14ac:dyDescent="0.25">
      <c r="A68" s="5" t="s">
        <v>63</v>
      </c>
      <c r="B68" s="15">
        <v>0</v>
      </c>
      <c r="C68" s="14"/>
      <c r="D68" s="15">
        <v>0</v>
      </c>
      <c r="F68" s="14">
        <f t="shared" si="44"/>
        <v>0</v>
      </c>
      <c r="G68" s="9">
        <f t="shared" si="45"/>
        <v>0</v>
      </c>
      <c r="H68" s="15"/>
      <c r="P68" s="9">
        <f t="shared" ref="P68:P72" si="46">SUM(D68:O68)</f>
        <v>0</v>
      </c>
    </row>
    <row r="69" spans="1:17" s="26" customFormat="1" x14ac:dyDescent="0.25">
      <c r="A69" s="4" t="s">
        <v>64</v>
      </c>
      <c r="B69" s="12">
        <f>SUM(B70:B72)</f>
        <v>0</v>
      </c>
      <c r="C69" s="13">
        <f t="shared" ref="C69:D69" si="47">SUM(C70:C72)</f>
        <v>0</v>
      </c>
      <c r="D69" s="12">
        <f t="shared" si="47"/>
        <v>0</v>
      </c>
      <c r="E69" s="10"/>
      <c r="F69" s="14">
        <f t="shared" si="44"/>
        <v>0</v>
      </c>
      <c r="G69" s="10">
        <f t="shared" si="45"/>
        <v>0</v>
      </c>
      <c r="H69" s="12"/>
      <c r="I69" s="10"/>
      <c r="J69" s="10"/>
      <c r="K69" s="10"/>
      <c r="L69" s="10"/>
      <c r="M69" s="10"/>
      <c r="N69" s="10"/>
      <c r="O69" s="10"/>
      <c r="P69" s="10">
        <f t="shared" si="46"/>
        <v>0</v>
      </c>
      <c r="Q69" s="10"/>
    </row>
    <row r="70" spans="1:17" x14ac:dyDescent="0.25">
      <c r="A70" s="5" t="s">
        <v>65</v>
      </c>
      <c r="B70" s="15">
        <v>0</v>
      </c>
      <c r="C70" s="14">
        <v>0</v>
      </c>
      <c r="D70" s="15">
        <v>0</v>
      </c>
      <c r="F70" s="14">
        <f t="shared" si="44"/>
        <v>0</v>
      </c>
      <c r="G70" s="9">
        <f t="shared" si="45"/>
        <v>0</v>
      </c>
      <c r="H70" s="15"/>
      <c r="P70" s="9">
        <f t="shared" si="46"/>
        <v>0</v>
      </c>
    </row>
    <row r="71" spans="1:17" x14ac:dyDescent="0.25">
      <c r="A71" s="5" t="s">
        <v>66</v>
      </c>
      <c r="B71" s="15">
        <v>0</v>
      </c>
      <c r="C71" s="14">
        <v>0</v>
      </c>
      <c r="D71" s="15">
        <v>0</v>
      </c>
      <c r="F71" s="14">
        <f t="shared" si="44"/>
        <v>0</v>
      </c>
      <c r="G71" s="9">
        <f t="shared" si="45"/>
        <v>0</v>
      </c>
      <c r="H71" s="15"/>
      <c r="P71" s="9">
        <f t="shared" si="46"/>
        <v>0</v>
      </c>
    </row>
    <row r="72" spans="1:17" ht="30" x14ac:dyDescent="0.25">
      <c r="A72" s="5" t="s">
        <v>67</v>
      </c>
      <c r="B72" s="15">
        <v>0</v>
      </c>
      <c r="C72" s="14">
        <v>0</v>
      </c>
      <c r="D72" s="15">
        <v>0</v>
      </c>
      <c r="F72" s="14">
        <f t="shared" si="44"/>
        <v>0</v>
      </c>
      <c r="G72" s="9">
        <f t="shared" si="45"/>
        <v>0</v>
      </c>
      <c r="H72" s="15"/>
      <c r="P72" s="9">
        <f t="shared" si="46"/>
        <v>0</v>
      </c>
    </row>
    <row r="73" spans="1:17" x14ac:dyDescent="0.25">
      <c r="A73" s="6" t="s">
        <v>35</v>
      </c>
      <c r="B73" s="16">
        <f>SUM(B9,B15,B25,B35,B43,B51,B61,B66,B69)</f>
        <v>354000000</v>
      </c>
      <c r="C73" s="16">
        <f t="shared" ref="C73:O73" si="48">SUM(C9,C15,C25,C35,C43,C51,C61,C66,C69)</f>
        <v>495519788.63999999</v>
      </c>
      <c r="D73" s="16">
        <f t="shared" si="48"/>
        <v>15661978.83</v>
      </c>
      <c r="E73" s="17">
        <f t="shared" si="48"/>
        <v>17895818.649999999</v>
      </c>
      <c r="F73" s="17">
        <f t="shared" si="48"/>
        <v>19732593.420000002</v>
      </c>
      <c r="G73" s="17">
        <f t="shared" si="48"/>
        <v>16239119.119999995</v>
      </c>
      <c r="H73" s="16">
        <f t="shared" si="48"/>
        <v>27258916.09</v>
      </c>
      <c r="I73" s="17">
        <f t="shared" si="48"/>
        <v>0</v>
      </c>
      <c r="J73" s="17">
        <f t="shared" si="48"/>
        <v>0</v>
      </c>
      <c r="K73" s="17">
        <f t="shared" si="48"/>
        <v>0</v>
      </c>
      <c r="L73" s="17">
        <f t="shared" si="48"/>
        <v>0</v>
      </c>
      <c r="M73" s="17">
        <f t="shared" si="48"/>
        <v>0</v>
      </c>
      <c r="N73" s="17">
        <f t="shared" si="48"/>
        <v>0</v>
      </c>
      <c r="O73" s="17">
        <f t="shared" si="48"/>
        <v>0</v>
      </c>
      <c r="P73" s="17">
        <f>SUM(D73:O73)</f>
        <v>96788426.109999999</v>
      </c>
      <c r="Q73" s="42"/>
    </row>
    <row r="74" spans="1:17" ht="9" customHeight="1" x14ac:dyDescent="0.25">
      <c r="A74" s="7"/>
      <c r="B74" s="15"/>
      <c r="C74" s="14"/>
      <c r="D74" s="15"/>
      <c r="H74" s="15"/>
      <c r="M74" s="9">
        <f t="shared" ref="M74" si="49">0-D74-E74-F74-G74-H74-I74-J74-K74-L74</f>
        <v>0</v>
      </c>
    </row>
    <row r="75" spans="1:17" ht="19.5" customHeight="1" x14ac:dyDescent="0.25">
      <c r="A75" s="3" t="s">
        <v>68</v>
      </c>
      <c r="B75" s="11">
        <f>SUM(B76,B79,B82)</f>
        <v>0</v>
      </c>
      <c r="C75" s="11">
        <f t="shared" ref="C75:D75" si="50">SUM(C76,C79,C82)</f>
        <v>0</v>
      </c>
      <c r="D75" s="11">
        <f t="shared" si="50"/>
        <v>0</v>
      </c>
      <c r="E75" s="18"/>
      <c r="F75" s="18"/>
      <c r="G75" s="18"/>
      <c r="H75" s="11"/>
      <c r="I75" s="18"/>
      <c r="J75" s="18"/>
      <c r="K75" s="18"/>
      <c r="L75" s="18"/>
      <c r="M75" s="18"/>
      <c r="N75" s="18"/>
      <c r="O75" s="18"/>
      <c r="P75" s="18">
        <f>SUM(D75:O75)</f>
        <v>0</v>
      </c>
      <c r="Q75" s="42"/>
    </row>
    <row r="76" spans="1:17" x14ac:dyDescent="0.25">
      <c r="A76" s="4" t="s">
        <v>69</v>
      </c>
      <c r="B76" s="12">
        <f>SUM(B77:B78)</f>
        <v>0</v>
      </c>
      <c r="C76" s="14">
        <f t="shared" ref="C76:D76" si="51">SUM(C77:C78)</f>
        <v>0</v>
      </c>
      <c r="D76" s="12">
        <f t="shared" si="51"/>
        <v>0</v>
      </c>
      <c r="G76" s="9">
        <f t="shared" ref="G76:G83" si="52">0-D76-E76-F76</f>
        <v>0</v>
      </c>
      <c r="H76" s="12"/>
      <c r="P76" s="10">
        <f>SUM(D76:O76)</f>
        <v>0</v>
      </c>
      <c r="Q76" s="10"/>
    </row>
    <row r="77" spans="1:17" ht="24.95" customHeight="1" x14ac:dyDescent="0.25">
      <c r="A77" s="5" t="s">
        <v>70</v>
      </c>
      <c r="B77" s="12">
        <v>0</v>
      </c>
      <c r="C77" s="14">
        <v>0</v>
      </c>
      <c r="D77" s="15">
        <v>0</v>
      </c>
      <c r="G77" s="9">
        <f t="shared" si="52"/>
        <v>0</v>
      </c>
      <c r="H77" s="15"/>
      <c r="P77" s="9">
        <f>SUM(D77:O77)</f>
        <v>0</v>
      </c>
    </row>
    <row r="78" spans="1:17" ht="24.95" customHeight="1" x14ac:dyDescent="0.25">
      <c r="A78" s="5" t="s">
        <v>71</v>
      </c>
      <c r="B78" s="15"/>
      <c r="C78" s="14"/>
      <c r="D78" s="15"/>
      <c r="G78" s="9">
        <f t="shared" si="52"/>
        <v>0</v>
      </c>
      <c r="H78" s="15"/>
      <c r="P78" s="9">
        <f t="shared" ref="P78:P81" si="53">SUM(D78:O78)</f>
        <v>0</v>
      </c>
    </row>
    <row r="79" spans="1:17" x14ac:dyDescent="0.25">
      <c r="A79" s="4" t="s">
        <v>72</v>
      </c>
      <c r="B79" s="12">
        <f>SUM(B80:B81)</f>
        <v>0</v>
      </c>
      <c r="C79" s="14">
        <f t="shared" ref="C79:D79" si="54">SUM(C80:C81)</f>
        <v>0</v>
      </c>
      <c r="D79" s="12">
        <f t="shared" si="54"/>
        <v>0</v>
      </c>
      <c r="G79" s="9">
        <f t="shared" si="52"/>
        <v>0</v>
      </c>
      <c r="H79" s="12"/>
      <c r="P79" s="9">
        <f t="shared" si="53"/>
        <v>0</v>
      </c>
    </row>
    <row r="80" spans="1:17" x14ac:dyDescent="0.25">
      <c r="A80" s="5" t="s">
        <v>73</v>
      </c>
      <c r="B80" s="15"/>
      <c r="C80" s="14"/>
      <c r="D80" s="15"/>
      <c r="G80" s="9">
        <f t="shared" si="52"/>
        <v>0</v>
      </c>
      <c r="H80" s="15"/>
      <c r="P80" s="9">
        <f t="shared" si="53"/>
        <v>0</v>
      </c>
    </row>
    <row r="81" spans="1:17" x14ac:dyDescent="0.25">
      <c r="A81" s="5" t="s">
        <v>74</v>
      </c>
      <c r="B81" s="15"/>
      <c r="C81" s="14"/>
      <c r="D81" s="15"/>
      <c r="G81" s="9">
        <f t="shared" si="52"/>
        <v>0</v>
      </c>
      <c r="H81" s="15"/>
      <c r="P81" s="9">
        <f t="shared" si="53"/>
        <v>0</v>
      </c>
    </row>
    <row r="82" spans="1:17" x14ac:dyDescent="0.25">
      <c r="A82" s="4" t="s">
        <v>75</v>
      </c>
      <c r="B82" s="12">
        <f>SUM(B83)</f>
        <v>0</v>
      </c>
      <c r="C82" s="14">
        <f t="shared" ref="C82:D82" si="55">SUM(C83)</f>
        <v>0</v>
      </c>
      <c r="D82" s="12">
        <f t="shared" si="55"/>
        <v>0</v>
      </c>
      <c r="G82" s="9">
        <f t="shared" si="52"/>
        <v>0</v>
      </c>
      <c r="H82" s="12"/>
      <c r="P82" s="10">
        <f>SUM(D82:O82)</f>
        <v>0</v>
      </c>
      <c r="Q82" s="10"/>
    </row>
    <row r="83" spans="1:17" x14ac:dyDescent="0.25">
      <c r="A83" s="5" t="s">
        <v>76</v>
      </c>
      <c r="B83" s="15"/>
      <c r="C83" s="14"/>
      <c r="D83" s="15"/>
      <c r="G83" s="9">
        <f t="shared" si="52"/>
        <v>0</v>
      </c>
      <c r="H83" s="15"/>
      <c r="P83" s="9">
        <f>SUM(D83:O83)</f>
        <v>0</v>
      </c>
    </row>
    <row r="84" spans="1:17" x14ac:dyDescent="0.25">
      <c r="A84" s="6" t="s">
        <v>77</v>
      </c>
      <c r="B84" s="16">
        <f>SUM(B76,B79,B82)</f>
        <v>0</v>
      </c>
      <c r="C84" s="16">
        <f t="shared" ref="C84:O84" si="56">SUM(C76,C79,C82)</f>
        <v>0</v>
      </c>
      <c r="D84" s="16">
        <f t="shared" si="56"/>
        <v>0</v>
      </c>
      <c r="E84" s="17">
        <f t="shared" si="56"/>
        <v>0</v>
      </c>
      <c r="F84" s="17">
        <f t="shared" si="56"/>
        <v>0</v>
      </c>
      <c r="G84" s="17">
        <f t="shared" si="56"/>
        <v>0</v>
      </c>
      <c r="H84" s="16">
        <f t="shared" si="56"/>
        <v>0</v>
      </c>
      <c r="I84" s="17">
        <f t="shared" si="56"/>
        <v>0</v>
      </c>
      <c r="J84" s="17">
        <f t="shared" si="56"/>
        <v>0</v>
      </c>
      <c r="K84" s="17">
        <f t="shared" si="56"/>
        <v>0</v>
      </c>
      <c r="L84" s="17">
        <f t="shared" si="56"/>
        <v>0</v>
      </c>
      <c r="M84" s="17">
        <f t="shared" si="56"/>
        <v>0</v>
      </c>
      <c r="N84" s="17">
        <f t="shared" si="56"/>
        <v>0</v>
      </c>
      <c r="O84" s="17">
        <f t="shared" si="56"/>
        <v>0</v>
      </c>
      <c r="P84" s="17">
        <f>SUM(D84:O84)</f>
        <v>0</v>
      </c>
      <c r="Q84" s="42"/>
    </row>
    <row r="85" spans="1:17" ht="9.9499999999999993" customHeight="1" x14ac:dyDescent="0.25">
      <c r="A85" s="8"/>
      <c r="B85" s="14"/>
      <c r="C85" s="14"/>
      <c r="D85" s="14"/>
      <c r="H85" s="14"/>
    </row>
    <row r="86" spans="1:17" ht="15.75" thickBot="1" x14ac:dyDescent="0.3">
      <c r="A86" s="30" t="s">
        <v>78</v>
      </c>
      <c r="B86" s="31">
        <f>SUM(B84)+B73</f>
        <v>354000000</v>
      </c>
      <c r="C86" s="31">
        <f t="shared" ref="C86:D86" si="57">SUM(C84)+C73</f>
        <v>495519788.63999999</v>
      </c>
      <c r="D86" s="31">
        <f t="shared" si="57"/>
        <v>15661978.83</v>
      </c>
      <c r="E86" s="31">
        <f t="shared" ref="E86:O86" si="58">SUM(E84)+E73</f>
        <v>17895818.649999999</v>
      </c>
      <c r="F86" s="31">
        <f t="shared" si="58"/>
        <v>19732593.420000002</v>
      </c>
      <c r="G86" s="31">
        <f t="shared" si="58"/>
        <v>16239119.119999995</v>
      </c>
      <c r="H86" s="31">
        <f t="shared" si="58"/>
        <v>27258916.09</v>
      </c>
      <c r="I86" s="31">
        <f t="shared" si="58"/>
        <v>0</v>
      </c>
      <c r="J86" s="31">
        <f t="shared" si="58"/>
        <v>0</v>
      </c>
      <c r="K86" s="31">
        <f t="shared" si="58"/>
        <v>0</v>
      </c>
      <c r="L86" s="31">
        <f t="shared" si="58"/>
        <v>0</v>
      </c>
      <c r="M86" s="31">
        <f t="shared" si="58"/>
        <v>0</v>
      </c>
      <c r="N86" s="31">
        <f t="shared" si="58"/>
        <v>0</v>
      </c>
      <c r="O86" s="31">
        <f t="shared" si="58"/>
        <v>0</v>
      </c>
      <c r="P86" s="31">
        <f>SUM(D86:O86)</f>
        <v>96788426.109999999</v>
      </c>
      <c r="Q86" s="40"/>
    </row>
    <row r="87" spans="1:17" x14ac:dyDescent="0.25">
      <c r="A87" t="s">
        <v>93</v>
      </c>
    </row>
    <row r="92" spans="1:17" x14ac:dyDescent="0.25">
      <c r="B92" s="19" t="s">
        <v>96</v>
      </c>
      <c r="F92" s="29" t="s">
        <v>94</v>
      </c>
      <c r="J92" s="9" t="s">
        <v>97</v>
      </c>
    </row>
    <row r="93" spans="1:17" x14ac:dyDescent="0.25">
      <c r="B93" s="19" t="s">
        <v>98</v>
      </c>
      <c r="F93" s="29" t="s">
        <v>95</v>
      </c>
      <c r="J93" s="9" t="s">
        <v>99</v>
      </c>
    </row>
  </sheetData>
  <mergeCells count="8">
    <mergeCell ref="A6:A7"/>
    <mergeCell ref="B6:B7"/>
    <mergeCell ref="C6:C7"/>
    <mergeCell ref="D6:P6"/>
    <mergeCell ref="A1:P1"/>
    <mergeCell ref="A2:P2"/>
    <mergeCell ref="A3:P3"/>
    <mergeCell ref="A4:P4"/>
  </mergeCells>
  <printOptions horizontalCentered="1"/>
  <pageMargins left="0.11811023622047245" right="0.11811023622047245" top="0.35433070866141736" bottom="0.35433070866141736" header="0" footer="0"/>
  <pageSetup scale="63" fitToHeight="0" orientation="landscape" r:id="rId1"/>
  <ignoredErrors>
    <ignoredError sqref="P40:P60 P36:P38 P16:P24 P61:P85 P13 P11:P12 P10 P14 P26:P34" formulaRange="1"/>
    <ignoredError sqref="N61 N66 E35:G35 M73:M74 M66 M61 E15 E25 E43 E51 M15 K15 G15 N15 F15 O15 H15:J15 L15 K25 M25:N25 F25:J25 O25 L25 M35 K35 N35 H35:J35 O35 L35 M43 N43 F43:L43 O43 M51 N51 F51:L51 O51 E21 E31 F66:G66 F61:G61 F30" formula="1"/>
    <ignoredError sqref="P15 P25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mayo 2026</vt:lpstr>
      <vt:lpstr>'Ejecución mayo 2026'!Área_de_impresión</vt:lpstr>
      <vt:lpstr>'Ejecución mayo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Gonzalez Brito</cp:lastModifiedBy>
  <cp:lastPrinted>2026-06-12T18:37:45Z</cp:lastPrinted>
  <dcterms:created xsi:type="dcterms:W3CDTF">2018-04-17T18:57:16Z</dcterms:created>
  <dcterms:modified xsi:type="dcterms:W3CDTF">2026-06-12T18:37:47Z</dcterms:modified>
</cp:coreProperties>
</file>