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Presupuesto/"/>
    </mc:Choice>
  </mc:AlternateContent>
  <xr:revisionPtr revIDLastSave="3" documentId="8_{FD3217DC-F02D-4998-99BB-CB25DB191EE3}" xr6:coauthVersionLast="47" xr6:coauthVersionMax="47" xr10:uidLastSave="{682AAE7C-486F-4CC8-9F40-71085F354B60}"/>
  <bookViews>
    <workbookView xWindow="1425" yWindow="1425" windowWidth="15375" windowHeight="7785" tabRatio="713" xr2:uid="{00000000-000D-0000-FFFF-FFFF00000000}"/>
  </bookViews>
  <sheets>
    <sheet name="Ejecución noviembre 2024" sheetId="4" r:id="rId1"/>
  </sheets>
  <definedNames>
    <definedName name="_xlnm.Print_Area" localSheetId="0">'Ejecución noviembre 2024'!$A$1:$P$94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4" l="1"/>
  <c r="N72" i="4"/>
  <c r="N71" i="4"/>
  <c r="N69" i="4"/>
  <c r="N68" i="4"/>
  <c r="H54" i="4" l="1"/>
  <c r="H55" i="4"/>
  <c r="I55" i="4" s="1"/>
  <c r="H56" i="4"/>
  <c r="I56" i="4" s="1"/>
  <c r="H13" i="4"/>
  <c r="I13" i="4" s="1"/>
  <c r="H14" i="4"/>
  <c r="I14" i="4" l="1"/>
  <c r="I54" i="4"/>
  <c r="J13" i="4"/>
  <c r="K13" i="4" s="1"/>
  <c r="L13" i="4" s="1"/>
  <c r="J56" i="4"/>
  <c r="J55" i="4"/>
  <c r="F48" i="4"/>
  <c r="F60" i="4"/>
  <c r="G60" i="4" s="1"/>
  <c r="F58" i="4"/>
  <c r="F59" i="4"/>
  <c r="F61" i="4"/>
  <c r="F57" i="4"/>
  <c r="G57" i="4" s="1"/>
  <c r="F53" i="4"/>
  <c r="E19" i="4"/>
  <c r="F19" i="4" s="1"/>
  <c r="E17" i="4"/>
  <c r="F17" i="4" s="1"/>
  <c r="E12" i="4"/>
  <c r="F12" i="4" s="1"/>
  <c r="E11" i="4"/>
  <c r="E15" i="4"/>
  <c r="F15" i="4" s="1"/>
  <c r="G15" i="4" s="1"/>
  <c r="E35" i="4"/>
  <c r="E33" i="4"/>
  <c r="F33" i="4" s="1"/>
  <c r="E28" i="4"/>
  <c r="F28" i="4" s="1"/>
  <c r="G28" i="4" s="1"/>
  <c r="E29" i="4"/>
  <c r="G29" i="4" s="1"/>
  <c r="E30" i="4"/>
  <c r="E31" i="4"/>
  <c r="G31" i="4" s="1"/>
  <c r="E32" i="4"/>
  <c r="E34" i="4"/>
  <c r="E27" i="4"/>
  <c r="F27" i="4" s="1"/>
  <c r="E25" i="4"/>
  <c r="E24" i="4"/>
  <c r="E23" i="4"/>
  <c r="E22" i="4"/>
  <c r="F22" i="4" s="1"/>
  <c r="E21" i="4"/>
  <c r="F21" i="4" s="1"/>
  <c r="E20" i="4"/>
  <c r="F20" i="4" s="1"/>
  <c r="E18" i="4"/>
  <c r="F18" i="4" s="1"/>
  <c r="O38" i="4"/>
  <c r="G21" i="4" l="1"/>
  <c r="F11" i="4"/>
  <c r="G11" i="4" s="1"/>
  <c r="H11" i="4" s="1"/>
  <c r="J14" i="4"/>
  <c r="K14" i="4" s="1"/>
  <c r="K55" i="4"/>
  <c r="M13" i="4"/>
  <c r="N13" i="4" s="1"/>
  <c r="H59" i="4"/>
  <c r="I59" i="4" s="1"/>
  <c r="H60" i="4"/>
  <c r="I60" i="4"/>
  <c r="J54" i="4"/>
  <c r="H58" i="4"/>
  <c r="I58" i="4"/>
  <c r="G27" i="4"/>
  <c r="H27" i="4" s="1"/>
  <c r="I27" i="4" s="1"/>
  <c r="H28" i="4"/>
  <c r="F23" i="4"/>
  <c r="G19" i="4"/>
  <c r="G33" i="4"/>
  <c r="H33" i="4" s="1"/>
  <c r="F25" i="4"/>
  <c r="G34" i="4"/>
  <c r="G32" i="4"/>
  <c r="H29" i="4"/>
  <c r="G18" i="4"/>
  <c r="H18" i="4" s="1"/>
  <c r="H15" i="4"/>
  <c r="I15" i="4" s="1"/>
  <c r="J15" i="4" s="1"/>
  <c r="F35" i="4"/>
  <c r="K56" i="4"/>
  <c r="G20" i="4"/>
  <c r="G53" i="4"/>
  <c r="H53" i="4"/>
  <c r="G30" i="4"/>
  <c r="H21" i="4"/>
  <c r="G12" i="4"/>
  <c r="H12" i="4" s="1"/>
  <c r="H57" i="4"/>
  <c r="G48" i="4"/>
  <c r="F24" i="4"/>
  <c r="H31" i="4"/>
  <c r="I31" i="4" s="1"/>
  <c r="G22" i="4"/>
  <c r="G17" i="4"/>
  <c r="H17" i="4" s="1"/>
  <c r="H61" i="4"/>
  <c r="J58" i="4" l="1"/>
  <c r="J60" i="4"/>
  <c r="K58" i="4"/>
  <c r="L14" i="4"/>
  <c r="L58" i="4"/>
  <c r="M58" i="4"/>
  <c r="N58" i="4" s="1"/>
  <c r="I18" i="4"/>
  <c r="J18" i="4" s="1"/>
  <c r="H19" i="4"/>
  <c r="L55" i="4"/>
  <c r="L56" i="4"/>
  <c r="P13" i="4"/>
  <c r="K15" i="4"/>
  <c r="J27" i="4"/>
  <c r="K27" i="4" s="1"/>
  <c r="K60" i="4"/>
  <c r="L60" i="4" s="1"/>
  <c r="I53" i="4"/>
  <c r="J53" i="4" s="1"/>
  <c r="K54" i="4"/>
  <c r="L54" i="4" s="1"/>
  <c r="I12" i="4"/>
  <c r="I17" i="4"/>
  <c r="H34" i="4"/>
  <c r="I34" i="4" s="1"/>
  <c r="I29" i="4"/>
  <c r="J29" i="4" s="1"/>
  <c r="K29" i="4" s="1"/>
  <c r="I33" i="4"/>
  <c r="G25" i="4"/>
  <c r="H25" i="4" s="1"/>
  <c r="H32" i="4"/>
  <c r="H20" i="4"/>
  <c r="I28" i="4"/>
  <c r="J59" i="4"/>
  <c r="K59" i="4" s="1"/>
  <c r="H30" i="4"/>
  <c r="I30" i="4" s="1"/>
  <c r="I61" i="4"/>
  <c r="J61" i="4" s="1"/>
  <c r="H22" i="4"/>
  <c r="I22" i="4" s="1"/>
  <c r="I57" i="4"/>
  <c r="I21" i="4"/>
  <c r="H48" i="4"/>
  <c r="G24" i="4"/>
  <c r="H24" i="4" s="1"/>
  <c r="J31" i="4"/>
  <c r="G23" i="4"/>
  <c r="G35" i="4"/>
  <c r="I11" i="4"/>
  <c r="J11" i="4" s="1"/>
  <c r="K18" i="4" l="1"/>
  <c r="I19" i="4"/>
  <c r="L18" i="4"/>
  <c r="L27" i="4"/>
  <c r="M27" i="4" s="1"/>
  <c r="N27" i="4" s="1"/>
  <c r="M60" i="4"/>
  <c r="N60" i="4" s="1"/>
  <c r="J57" i="4"/>
  <c r="K57" i="4" s="1"/>
  <c r="L57" i="4" s="1"/>
  <c r="J22" i="4"/>
  <c r="K22" i="4" s="1"/>
  <c r="L22" i="4" s="1"/>
  <c r="M14" i="4"/>
  <c r="N14" i="4" s="1"/>
  <c r="L29" i="4"/>
  <c r="M29" i="4" s="1"/>
  <c r="L59" i="4"/>
  <c r="M56" i="4"/>
  <c r="N56" i="4" s="1"/>
  <c r="M55" i="4"/>
  <c r="N55" i="4" s="1"/>
  <c r="L15" i="4"/>
  <c r="I24" i="4"/>
  <c r="J30" i="4"/>
  <c r="I32" i="4"/>
  <c r="J32" i="4" s="1"/>
  <c r="K32" i="4" s="1"/>
  <c r="K31" i="4"/>
  <c r="J34" i="4"/>
  <c r="I25" i="4"/>
  <c r="J25" i="4" s="1"/>
  <c r="M59" i="4"/>
  <c r="N59" i="4" s="1"/>
  <c r="K53" i="4"/>
  <c r="I20" i="4"/>
  <c r="J33" i="4"/>
  <c r="K33" i="4" s="1"/>
  <c r="J12" i="4"/>
  <c r="K12" i="4" s="1"/>
  <c r="J17" i="4"/>
  <c r="K17" i="4" s="1"/>
  <c r="I48" i="4"/>
  <c r="J48" i="4"/>
  <c r="J21" i="4"/>
  <c r="H35" i="4"/>
  <c r="K61" i="4"/>
  <c r="L61" i="4" s="1"/>
  <c r="M61" i="4" s="1"/>
  <c r="N61" i="4" s="1"/>
  <c r="M54" i="4"/>
  <c r="N54" i="4" s="1"/>
  <c r="H23" i="4"/>
  <c r="K11" i="4"/>
  <c r="J28" i="4"/>
  <c r="K28" i="4" s="1"/>
  <c r="L12" i="4" l="1"/>
  <c r="M18" i="4"/>
  <c r="N18" i="4" s="1"/>
  <c r="M22" i="4"/>
  <c r="N22" i="4" s="1"/>
  <c r="J19" i="4"/>
  <c r="K25" i="4"/>
  <c r="L25" i="4" s="1"/>
  <c r="M25" i="4" s="1"/>
  <c r="N25" i="4" s="1"/>
  <c r="N29" i="4"/>
  <c r="K48" i="4"/>
  <c r="I23" i="4"/>
  <c r="J23" i="4" s="1"/>
  <c r="M57" i="4"/>
  <c r="N57" i="4" s="1"/>
  <c r="L28" i="4"/>
  <c r="M28" i="4" s="1"/>
  <c r="N28" i="4" s="1"/>
  <c r="L33" i="4"/>
  <c r="M15" i="4"/>
  <c r="N15" i="4" s="1"/>
  <c r="L32" i="4"/>
  <c r="M32" i="4" s="1"/>
  <c r="N32" i="4" s="1"/>
  <c r="I35" i="4"/>
  <c r="L31" i="4"/>
  <c r="M31" i="4" s="1"/>
  <c r="N31" i="4" s="1"/>
  <c r="K30" i="4"/>
  <c r="M12" i="4"/>
  <c r="N12" i="4" s="1"/>
  <c r="L11" i="4"/>
  <c r="M11" i="4" s="1"/>
  <c r="N11" i="4" s="1"/>
  <c r="K34" i="4"/>
  <c r="J24" i="4"/>
  <c r="L53" i="4"/>
  <c r="J20" i="4"/>
  <c r="K20" i="4" s="1"/>
  <c r="L20" i="4" s="1"/>
  <c r="L17" i="4"/>
  <c r="M17" i="4" s="1"/>
  <c r="K21" i="4"/>
  <c r="L21" i="4" s="1"/>
  <c r="H62" i="4"/>
  <c r="G62" i="4"/>
  <c r="M62" i="4"/>
  <c r="F62" i="4"/>
  <c r="K19" i="4" l="1"/>
  <c r="L19" i="4"/>
  <c r="N17" i="4"/>
  <c r="M20" i="4"/>
  <c r="N20" i="4" s="1"/>
  <c r="M53" i="4"/>
  <c r="N53" i="4" s="1"/>
  <c r="N52" i="4" s="1"/>
  <c r="M33" i="4"/>
  <c r="N33" i="4" s="1"/>
  <c r="L30" i="4"/>
  <c r="M30" i="4" s="1"/>
  <c r="L34" i="4"/>
  <c r="M34" i="4" s="1"/>
  <c r="K24" i="4"/>
  <c r="L48" i="4"/>
  <c r="M48" i="4" s="1"/>
  <c r="M44" i="4" s="1"/>
  <c r="M21" i="4"/>
  <c r="N21" i="4" s="1"/>
  <c r="J35" i="4"/>
  <c r="K23" i="4"/>
  <c r="L23" i="4" s="1"/>
  <c r="I62" i="4"/>
  <c r="G37" i="4"/>
  <c r="E70" i="4"/>
  <c r="E67" i="4"/>
  <c r="E62" i="4"/>
  <c r="E52" i="4"/>
  <c r="E44" i="4"/>
  <c r="E36" i="4"/>
  <c r="E26" i="4"/>
  <c r="P61" i="4"/>
  <c r="P40" i="4"/>
  <c r="D36" i="4"/>
  <c r="C36" i="4"/>
  <c r="B36" i="4"/>
  <c r="E10" i="4"/>
  <c r="E83" i="4"/>
  <c r="E80" i="4"/>
  <c r="E77" i="4"/>
  <c r="O83" i="4"/>
  <c r="N83" i="4"/>
  <c r="M83" i="4"/>
  <c r="L83" i="4"/>
  <c r="K83" i="4"/>
  <c r="J83" i="4"/>
  <c r="I83" i="4"/>
  <c r="H83" i="4"/>
  <c r="G83" i="4"/>
  <c r="F83" i="4"/>
  <c r="D83" i="4"/>
  <c r="C83" i="4"/>
  <c r="O80" i="4"/>
  <c r="N80" i="4"/>
  <c r="M80" i="4"/>
  <c r="L80" i="4"/>
  <c r="K80" i="4"/>
  <c r="J80" i="4"/>
  <c r="I80" i="4"/>
  <c r="H80" i="4"/>
  <c r="G80" i="4"/>
  <c r="F80" i="4"/>
  <c r="D80" i="4"/>
  <c r="C80" i="4"/>
  <c r="B83" i="4"/>
  <c r="B80" i="4"/>
  <c r="O77" i="4"/>
  <c r="N77" i="4"/>
  <c r="M77" i="4"/>
  <c r="L77" i="4"/>
  <c r="K77" i="4"/>
  <c r="J77" i="4"/>
  <c r="I77" i="4"/>
  <c r="H77" i="4"/>
  <c r="G77" i="4"/>
  <c r="F77" i="4"/>
  <c r="D77" i="4"/>
  <c r="C77" i="4"/>
  <c r="B77" i="4"/>
  <c r="O10" i="4"/>
  <c r="N10" i="4"/>
  <c r="M10" i="4"/>
  <c r="L10" i="4"/>
  <c r="I10" i="4"/>
  <c r="H10" i="4"/>
  <c r="O16" i="4"/>
  <c r="J16" i="4"/>
  <c r="I16" i="4"/>
  <c r="H16" i="4"/>
  <c r="O26" i="4"/>
  <c r="J26" i="4"/>
  <c r="I26" i="4"/>
  <c r="H26" i="4"/>
  <c r="N36" i="4"/>
  <c r="F36" i="4"/>
  <c r="O52" i="4"/>
  <c r="M52" i="4"/>
  <c r="L52" i="4"/>
  <c r="K52" i="4"/>
  <c r="J52" i="4"/>
  <c r="I52" i="4"/>
  <c r="H52" i="4"/>
  <c r="O70" i="4"/>
  <c r="M70" i="4"/>
  <c r="L70" i="4"/>
  <c r="K70" i="4"/>
  <c r="J70" i="4"/>
  <c r="I70" i="4"/>
  <c r="H70" i="4"/>
  <c r="G70" i="4"/>
  <c r="F70" i="4"/>
  <c r="D70" i="4"/>
  <c r="C70" i="4"/>
  <c r="B70" i="4"/>
  <c r="O67" i="4"/>
  <c r="N67" i="4"/>
  <c r="M67" i="4"/>
  <c r="L67" i="4"/>
  <c r="K67" i="4"/>
  <c r="J67" i="4"/>
  <c r="I67" i="4"/>
  <c r="H67" i="4"/>
  <c r="G67" i="4"/>
  <c r="F67" i="4"/>
  <c r="D67" i="4"/>
  <c r="C67" i="4"/>
  <c r="B67" i="4"/>
  <c r="D62" i="4"/>
  <c r="C62" i="4"/>
  <c r="B62" i="4"/>
  <c r="O44" i="4"/>
  <c r="K44" i="4"/>
  <c r="J44" i="4"/>
  <c r="I44" i="4"/>
  <c r="H44" i="4"/>
  <c r="G44" i="4"/>
  <c r="F44" i="4"/>
  <c r="D44" i="4"/>
  <c r="C44" i="4"/>
  <c r="B44" i="4"/>
  <c r="L44" i="4" l="1"/>
  <c r="N48" i="4"/>
  <c r="N44" i="4" s="1"/>
  <c r="K16" i="4"/>
  <c r="M19" i="4"/>
  <c r="N19" i="4" s="1"/>
  <c r="M23" i="4"/>
  <c r="N23" i="4" s="1"/>
  <c r="N70" i="4"/>
  <c r="G36" i="4"/>
  <c r="H37" i="4"/>
  <c r="H36" i="4" s="1"/>
  <c r="H74" i="4" s="1"/>
  <c r="N34" i="4"/>
  <c r="L24" i="4"/>
  <c r="M24" i="4" s="1"/>
  <c r="N24" i="4" s="1"/>
  <c r="N30" i="4"/>
  <c r="K35" i="4"/>
  <c r="L35" i="4" s="1"/>
  <c r="L26" i="4" s="1"/>
  <c r="K10" i="4"/>
  <c r="J10" i="4"/>
  <c r="P15" i="4"/>
  <c r="G52" i="4"/>
  <c r="G26" i="4"/>
  <c r="G16" i="4"/>
  <c r="G10" i="4"/>
  <c r="E16" i="4"/>
  <c r="I76" i="4"/>
  <c r="M85" i="4"/>
  <c r="F52" i="4"/>
  <c r="F26" i="4"/>
  <c r="F16" i="4"/>
  <c r="C85" i="4"/>
  <c r="O76" i="4"/>
  <c r="G85" i="4"/>
  <c r="O85" i="4"/>
  <c r="C76" i="4"/>
  <c r="J76" i="4"/>
  <c r="G76" i="4"/>
  <c r="K85" i="4"/>
  <c r="I85" i="4"/>
  <c r="M76" i="4"/>
  <c r="K76" i="4"/>
  <c r="E85" i="4"/>
  <c r="E76" i="4"/>
  <c r="F76" i="4"/>
  <c r="J85" i="4"/>
  <c r="N85" i="4"/>
  <c r="D85" i="4"/>
  <c r="H85" i="4"/>
  <c r="L85" i="4"/>
  <c r="N76" i="4"/>
  <c r="D76" i="4"/>
  <c r="H76" i="4"/>
  <c r="L76" i="4"/>
  <c r="F85" i="4"/>
  <c r="L16" i="4" l="1"/>
  <c r="N16" i="4"/>
  <c r="I37" i="4"/>
  <c r="I36" i="4" s="1"/>
  <c r="I74" i="4" s="1"/>
  <c r="I86" i="4" s="1"/>
  <c r="M35" i="4"/>
  <c r="M26" i="4" s="1"/>
  <c r="K26" i="4"/>
  <c r="M16" i="4"/>
  <c r="J62" i="4"/>
  <c r="K62" i="4"/>
  <c r="P11" i="4"/>
  <c r="G74" i="4"/>
  <c r="G86" i="4" s="1"/>
  <c r="F10" i="4"/>
  <c r="F74" i="4" s="1"/>
  <c r="F86" i="4" s="1"/>
  <c r="H9" i="4"/>
  <c r="H86" i="4"/>
  <c r="E74" i="4"/>
  <c r="P85" i="4"/>
  <c r="P84" i="4"/>
  <c r="P83" i="4"/>
  <c r="P82" i="4"/>
  <c r="P81" i="4"/>
  <c r="P80" i="4"/>
  <c r="P79" i="4"/>
  <c r="P78" i="4"/>
  <c r="P77" i="4"/>
  <c r="P76" i="4"/>
  <c r="P73" i="4"/>
  <c r="P72" i="4"/>
  <c r="P71" i="4"/>
  <c r="P70" i="4"/>
  <c r="P69" i="4"/>
  <c r="P68" i="4"/>
  <c r="P67" i="4"/>
  <c r="P66" i="4"/>
  <c r="P65" i="4"/>
  <c r="P64" i="4"/>
  <c r="P60" i="4"/>
  <c r="P59" i="4"/>
  <c r="P58" i="4"/>
  <c r="P57" i="4"/>
  <c r="P56" i="4"/>
  <c r="P55" i="4"/>
  <c r="P54" i="4"/>
  <c r="P53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4" i="4"/>
  <c r="P33" i="4"/>
  <c r="P32" i="4"/>
  <c r="P31" i="4"/>
  <c r="P30" i="4"/>
  <c r="P29" i="4"/>
  <c r="P28" i="4"/>
  <c r="P27" i="4"/>
  <c r="P25" i="4"/>
  <c r="P24" i="4"/>
  <c r="P23" i="4"/>
  <c r="P22" i="4"/>
  <c r="P21" i="4"/>
  <c r="P20" i="4"/>
  <c r="P19" i="4"/>
  <c r="P18" i="4"/>
  <c r="P17" i="4"/>
  <c r="P14" i="4"/>
  <c r="P12" i="4"/>
  <c r="D52" i="4"/>
  <c r="P52" i="4" s="1"/>
  <c r="D26" i="4"/>
  <c r="D16" i="4"/>
  <c r="D10" i="4"/>
  <c r="C52" i="4"/>
  <c r="C26" i="4"/>
  <c r="C16" i="4"/>
  <c r="C10" i="4"/>
  <c r="B52" i="4"/>
  <c r="B26" i="4"/>
  <c r="B16" i="4"/>
  <c r="N35" i="4" l="1"/>
  <c r="N26" i="4" s="1"/>
  <c r="P16" i="4"/>
  <c r="I9" i="4"/>
  <c r="P35" i="4"/>
  <c r="P26" i="4"/>
  <c r="J37" i="4"/>
  <c r="L62" i="4"/>
  <c r="N62" i="4"/>
  <c r="N74" i="4" s="1"/>
  <c r="P10" i="4"/>
  <c r="G9" i="4"/>
  <c r="F9" i="4"/>
  <c r="E86" i="4"/>
  <c r="E9" i="4"/>
  <c r="C74" i="4"/>
  <c r="C86" i="4" s="1"/>
  <c r="D74" i="4"/>
  <c r="B10" i="4"/>
  <c r="B74" i="4" s="1"/>
  <c r="B9" i="4" s="1"/>
  <c r="J36" i="4" l="1"/>
  <c r="J74" i="4" s="1"/>
  <c r="K37" i="4"/>
  <c r="O62" i="4"/>
  <c r="P62" i="4"/>
  <c r="N9" i="4"/>
  <c r="N86" i="4"/>
  <c r="P63" i="4"/>
  <c r="C9" i="4"/>
  <c r="D86" i="4"/>
  <c r="D9" i="4"/>
  <c r="B76" i="4"/>
  <c r="B85" i="4"/>
  <c r="B86" i="4" s="1"/>
  <c r="K36" i="4" l="1"/>
  <c r="K74" i="4" s="1"/>
  <c r="J9" i="4"/>
  <c r="J86" i="4"/>
  <c r="L37" i="4"/>
  <c r="L36" i="4" s="1"/>
  <c r="L74" i="4" s="1"/>
  <c r="L9" i="4" l="1"/>
  <c r="L86" i="4"/>
  <c r="M37" i="4"/>
  <c r="K9" i="4"/>
  <c r="K86" i="4"/>
  <c r="M36" i="4" l="1"/>
  <c r="M74" i="4" s="1"/>
  <c r="O37" i="4"/>
  <c r="O36" i="4" l="1"/>
  <c r="P37" i="4"/>
  <c r="M9" i="4"/>
  <c r="M86" i="4"/>
  <c r="P36" i="4" l="1"/>
  <c r="O74" i="4"/>
  <c r="O86" i="4" l="1"/>
  <c r="P86" i="4" s="1"/>
  <c r="O9" i="4"/>
  <c r="P9" i="4" s="1"/>
  <c r="P74" i="4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<sst xmlns="http://schemas.openxmlformats.org/spreadsheetml/2006/main" count="104" uniqueCount="104">
  <si>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</si>
  <si>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</si>
  <si>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</si>
  <si>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</si>
  <si>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</si>
  <si>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</si>
  <si>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</si>
  <si>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</si>
  <si>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</si>
  <si>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</si>
  <si>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</si>
  <si>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</si>
  <si>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</si>
  <si>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</si>
  <si>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</si>
  <si>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</si>
  <si>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</si>
  <si>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</si>
  <si>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</si>
  <si>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</si>
  <si>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</si>
  <si>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</si>
  <si>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</si>
  <si>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</si>
  <si>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</si>
  <si>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</si>
  <si>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</si>
  <si>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</si>
  <si>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</si>
  <si>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</si>
  <si>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</si>
  <si>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</si>
  <si>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</si>
  <si>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</si>
  <si>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</si>
  <si>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</si>
  <si>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</si>
  <si>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</si>
  <si>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</si>
  <si>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</si>
  <si>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</si>
  <si>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</si>
  <si>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</si>
  <si>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</si>
  <si>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</si>
  <si>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</si>
  <si>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</si>
  <si>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</si>
  <si>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</si>
  <si>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</si>
  <si>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</si>
  <si>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</si>
  <si>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</si>
  <si>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</si>
  <si>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</si>
  <si>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</si>
  <si>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</si>
  <si>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</si>
  <si>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</si>
  <si>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</si>
  <si>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</si>
  <si>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</si>
  <si>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</si>
  <si>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</si>
  <si>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</si>
  <si>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</si>
  <si>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</si>
  <si>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</si>
  <si>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</si>
  <si>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</si>
  <si>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</si>
  <si>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</si>
  <si>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</si>
  <si>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</si>
  <si>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</si>
  <si>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</si>
  <si>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</si>
  <si>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</si>
  <si>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</si>
  <si>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</si>
  <si>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</si>
  <si>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</si>
  <si>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</si>
  <si>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</si>
  <si>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</si>
  <si>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</si>
  <si>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</si>
  <si>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</si>
  <si>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</si>
  <si>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</si>
  <si>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</si>
  <si>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</si>
  <si>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</si>
  <si>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</si>
  <si>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</si>
  <si>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</si>
  <si>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</si>
  <si>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Aprobado: Carlos Elmúdesi</t>
  </si>
  <si>
    <t>Dir. Administrativo Financiero</t>
  </si>
  <si>
    <t>Fuente: [SIGEF]</t>
  </si>
  <si>
    <t>Analista Financiera</t>
  </si>
  <si>
    <t>Revisado: Juan Gonzalez</t>
  </si>
  <si>
    <t>Enc. De Contabilidad</t>
  </si>
  <si>
    <t>Preparado: Yohan 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</si>
</sst>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0" fillId="0" borderId="0" xfId="0" applyNumberFormat="1" applyAlignment="1">
      <alignment vertical="center" wrapText="1"/>
    </xf>
    <xf numFmtId="43" fontId="1" fillId="6" borderId="0" xfId="0" applyNumberFormat="1" applyFont="1" applyFill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0" fontId="8" fillId="0" borderId="15" xfId="0" applyFont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232832</xdr:colOff>
      <xdr:row>0</xdr:row>
      <xdr:rowOff>120652</xdr:rowOff>
    </xdr:from>
    <xdr:to>
      <xdr:col>0</xdr:col>
      <xdr:colOff>1949821</xdr:colOff>
      <xdr:row>3</xdr:row>
      <xdr:rowOff>161925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2" y="120652"/>
          <a:ext cx="1716989" cy="641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22412</xdr:colOff>
      <xdr:row>87</xdr:row>
      <xdr:rowOff>0</xdr:rowOff>
    </xdr:from>
    <xdr:to>
      <xdr:col>3</xdr:col>
      <xdr:colOff>173690</xdr:colOff>
      <xdr:row>91</xdr:row>
      <xdr:rowOff>15268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8E23C4-E341-4E42-A87B-29020716D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4324" y="22736735"/>
          <a:ext cx="2208678" cy="777268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86</xdr:row>
      <xdr:rowOff>28576</xdr:rowOff>
    </xdr:from>
    <xdr:to>
      <xdr:col>7</xdr:col>
      <xdr:colOff>238125</xdr:colOff>
      <xdr:row>92</xdr:row>
      <xdr:rowOff>48878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E284CE4-F45B-087A-514D-33756002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11268076"/>
          <a:ext cx="2305050" cy="1163302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695326</xdr:colOff>
      <xdr:row>86</xdr:row>
      <xdr:rowOff>152400</xdr:rowOff>
    </xdr:from>
    <xdr:to>
      <xdr:col>11</xdr:col>
      <xdr:colOff>742951</xdr:colOff>
      <xdr:row>91</xdr:row>
      <xdr:rowOff>110067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FC316E8-29F8-BAD0-ED52-0F7B2E4F0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1" y="11391900"/>
          <a:ext cx="2762250" cy="91016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87</xdr:row>
      <xdr:rowOff>0</xdr:rowOff>
    </xdr:from>
    <xdr:to>
      <xdr:col>13</xdr:col>
      <xdr:colOff>581025</xdr:colOff>
      <xdr:row>92</xdr:row>
      <xdr:rowOff>95451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75525B-236E-E7A3-B5CF-BFE0ED348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575" y="11430000"/>
          <a:ext cx="1485900" cy="104795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B92"/>
  <sheetViews>
    <sheetView showGridLines="0"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12" sqref="F12"/>
    </sheetView>
  </sheetViews>
  <sheetFormatPr baseColWidth="10" defaultColWidth="9.140625" defaultRowHeight="15" x14ac:dyDescent="0.25"/>
  <cols>
    <col min="1" max="1" width="40.7109375" customWidth="1"/>
    <col min="2" max="2" width="14.5703125" style="20" bestFit="1" customWidth="1"/>
    <col min="3" max="3" width="16.28515625" style="20" bestFit="1" customWidth="1"/>
    <col min="4" max="4" width="13.5703125" style="20" bestFit="1" customWidth="1"/>
    <col min="5" max="5" width="13.5703125" style="10" bestFit="1" customWidth="1"/>
    <col min="6" max="6" width="14.5703125" style="10" bestFit="1" customWidth="1"/>
    <col min="7" max="14" width="13.5703125" style="10" bestFit="1" customWidth="1"/>
    <col min="15" max="15" width="3.42578125" style="10" hidden="1" customWidth="1"/>
    <col min="16" max="16" width="16.28515625" style="10" bestFit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9.9499999999999993" customHeight="1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Q1" s="1"/>
    </row>
    <row r="2" spans="1:28" ht="18.75" customHeight="1" x14ac:dyDescent="0.25">
      <c r="A2" s="45" t="s">
        <v>93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</row>
    <row r="3" spans="1:28" ht="18.75" x14ac:dyDescent="0.25">
      <c r="A3" s="45">
        <v>2024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</row>
    <row r="4" spans="1:28" ht="15.75" x14ac:dyDescent="0.25">
      <c r="A4" s="53" t="s">
        <v>91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2"/>
    </row>
    <row r="5" spans="1:28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2"/>
    </row>
    <row r="6" spans="1:28" ht="5.0999999999999996" customHeight="1" thickBot="1" x14ac:dyDescent="0.3">
      <c r="P6" s="33"/>
      <c r="Q6" s="2"/>
    </row>
    <row r="7" spans="1:28" ht="20.100000000000001" customHeight="1" x14ac:dyDescent="0.25">
      <c r="A7" s="46" t="s">
        <v>0</v>
      </c>
      <c r="B7" s="48" t="s">
        <v>94</v>
      </c>
      <c r="C7" s="48" t="s">
        <v>95</v>
      </c>
      <c r="D7" s="50" t="s">
        <v>96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  <c r="Q7" s="2"/>
    </row>
    <row r="8" spans="1:28" ht="20.100000000000001" customHeight="1" x14ac:dyDescent="0.25">
      <c r="A8" s="47"/>
      <c r="B8" s="49"/>
      <c r="C8" s="49"/>
      <c r="D8" s="21" t="s">
        <v>79</v>
      </c>
      <c r="E8" s="22" t="s">
        <v>80</v>
      </c>
      <c r="F8" s="23" t="s">
        <v>81</v>
      </c>
      <c r="G8" s="23" t="s">
        <v>82</v>
      </c>
      <c r="H8" s="23" t="s">
        <v>83</v>
      </c>
      <c r="I8" s="24" t="s">
        <v>84</v>
      </c>
      <c r="J8" s="25" t="s">
        <v>85</v>
      </c>
      <c r="K8" s="24" t="s">
        <v>86</v>
      </c>
      <c r="L8" s="26" t="s">
        <v>87</v>
      </c>
      <c r="M8" s="25" t="s">
        <v>88</v>
      </c>
      <c r="N8" s="25" t="s">
        <v>89</v>
      </c>
      <c r="O8" s="25" t="s">
        <v>90</v>
      </c>
      <c r="P8" s="24" t="s">
        <v>92</v>
      </c>
      <c r="AA8" s="4"/>
      <c r="AB8" s="4"/>
    </row>
    <row r="9" spans="1:28" ht="20.100000000000001" customHeight="1" x14ac:dyDescent="0.25">
      <c r="A9" s="5" t="s">
        <v>1</v>
      </c>
      <c r="B9" s="12">
        <f>SUM(B74)</f>
        <v>354000000</v>
      </c>
      <c r="C9" s="12">
        <f t="shared" ref="C9:O9" si="0">SUM(C74)</f>
        <v>1222560040.5900002</v>
      </c>
      <c r="D9" s="12">
        <f t="shared" si="0"/>
        <v>16491728.039999999</v>
      </c>
      <c r="E9" s="12">
        <f>SUM(E74)</f>
        <v>21064539.199999999</v>
      </c>
      <c r="F9" s="12">
        <f t="shared" si="0"/>
        <v>843906928.86000001</v>
      </c>
      <c r="G9" s="12">
        <f t="shared" si="0"/>
        <v>37114693.260000005</v>
      </c>
      <c r="H9" s="12">
        <f t="shared" si="0"/>
        <v>19860453.930000003</v>
      </c>
      <c r="I9" s="12">
        <f t="shared" si="0"/>
        <v>19488665.119999997</v>
      </c>
      <c r="J9" s="12">
        <f t="shared" si="0"/>
        <v>20529786.449999996</v>
      </c>
      <c r="K9" s="12">
        <f t="shared" si="0"/>
        <v>16794662.850000001</v>
      </c>
      <c r="L9" s="12">
        <f t="shared" si="0"/>
        <v>22012165.750000004</v>
      </c>
      <c r="M9" s="12">
        <f t="shared" si="0"/>
        <v>25061793.040000003</v>
      </c>
      <c r="N9" s="12">
        <f t="shared" si="0"/>
        <v>25191087.09</v>
      </c>
      <c r="O9" s="12">
        <f t="shared" si="0"/>
        <v>0</v>
      </c>
      <c r="P9" s="29">
        <f>SUM(D9:O9)</f>
        <v>1067516503.59</v>
      </c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7" customFormat="1" ht="20.100000000000001" customHeight="1" x14ac:dyDescent="0.25">
      <c r="A10" s="6" t="s">
        <v>2</v>
      </c>
      <c r="B10" s="35">
        <f>SUM(B11:B15)</f>
        <v>210137992</v>
      </c>
      <c r="C10" s="37">
        <f>SUM(C11:C15)</f>
        <v>220309992</v>
      </c>
      <c r="D10" s="35">
        <f>SUM(D11:D15)</f>
        <v>11950809.539999999</v>
      </c>
      <c r="E10" s="35">
        <f>SUM(E11:E15)</f>
        <v>11882828.65</v>
      </c>
      <c r="F10" s="35">
        <f t="shared" ref="F10:O10" si="1">SUM(F11:F15)</f>
        <v>13093332.990000002</v>
      </c>
      <c r="G10" s="35">
        <f t="shared" si="1"/>
        <v>21900718.289999999</v>
      </c>
      <c r="H10" s="35">
        <f t="shared" si="1"/>
        <v>12709935.27</v>
      </c>
      <c r="I10" s="35">
        <f t="shared" si="1"/>
        <v>12712515.07</v>
      </c>
      <c r="J10" s="35">
        <f t="shared" si="1"/>
        <v>12702165.069999998</v>
      </c>
      <c r="K10" s="35">
        <f t="shared" si="1"/>
        <v>11250606.400000002</v>
      </c>
      <c r="L10" s="35">
        <f t="shared" si="1"/>
        <v>10953070.099999998</v>
      </c>
      <c r="M10" s="35">
        <f t="shared" si="1"/>
        <v>20623445.490000002</v>
      </c>
      <c r="N10" s="35">
        <f t="shared" si="1"/>
        <v>20157265.960000001</v>
      </c>
      <c r="O10" s="37">
        <f t="shared" si="1"/>
        <v>0</v>
      </c>
      <c r="P10" s="37">
        <f>SUM(D10:O10)</f>
        <v>159936692.83000001</v>
      </c>
      <c r="S10" s="28"/>
    </row>
    <row r="11" spans="1:28" ht="18" customHeight="1" x14ac:dyDescent="0.25">
      <c r="A11" s="7" t="s">
        <v>3</v>
      </c>
      <c r="B11" s="38">
        <v>147913500</v>
      </c>
      <c r="C11" s="34">
        <v>152514851</v>
      </c>
      <c r="D11" s="16">
        <v>9375000</v>
      </c>
      <c r="E11" s="16">
        <f>18714000-D11</f>
        <v>9339000</v>
      </c>
      <c r="F11" s="16">
        <f>29095389.53-D11-E11</f>
        <v>10381389.530000001</v>
      </c>
      <c r="G11" s="16">
        <f>39306889.53-D11-E11-F11</f>
        <v>10211500</v>
      </c>
      <c r="H11" s="16">
        <f>49306389.53-D11-E11-F11-G11</f>
        <v>9999500</v>
      </c>
      <c r="I11" s="16">
        <f>59317889.53-D11-E11-F11-G11-H11</f>
        <v>10011500</v>
      </c>
      <c r="J11" s="16">
        <f>69329389.53-D11-E11-F11-G11-H11-I11</f>
        <v>10011500</v>
      </c>
      <c r="K11" s="16">
        <f>78333389.53-D11-E11-F11-G11-H11-I11-J11</f>
        <v>9004000</v>
      </c>
      <c r="L11" s="16">
        <f>87469394.61-D11-E11-F11-G11-H11-I11-J11-K11</f>
        <v>9136005.0799999982</v>
      </c>
      <c r="M11" s="16">
        <f>96526643.44-D11-E11-F11-G11-H11-I11-J11-K11-L11</f>
        <v>9057248.8299999982</v>
      </c>
      <c r="N11" s="16">
        <f>113628192.39-D11-E11-F11-G11-H11-I11-J11-K11-L11-M11</f>
        <v>17101548.950000003</v>
      </c>
      <c r="O11" s="15">
        <v>0</v>
      </c>
      <c r="P11" s="15">
        <f>SUM(D11:O11)</f>
        <v>113628192.39</v>
      </c>
    </row>
    <row r="12" spans="1:28" x14ac:dyDescent="0.25">
      <c r="A12" s="7" t="s">
        <v>4</v>
      </c>
      <c r="B12" s="38">
        <v>43133500</v>
      </c>
      <c r="C12" s="34">
        <v>48589149</v>
      </c>
      <c r="D12" s="16">
        <v>1239100</v>
      </c>
      <c r="E12" s="16">
        <f>2446200-D12</f>
        <v>1207100</v>
      </c>
      <c r="F12" s="16">
        <f>3744800-D12-E12</f>
        <v>1298600</v>
      </c>
      <c r="G12" s="16">
        <f>13968047.2-D12-E12-F12</f>
        <v>10223247.199999999</v>
      </c>
      <c r="H12" s="16">
        <f>15244297.2-D12-E12-F12-G12</f>
        <v>1276250</v>
      </c>
      <c r="I12" s="16">
        <f>16509897.2-D12-E12-F12-G12-H12</f>
        <v>1265600</v>
      </c>
      <c r="J12" s="16">
        <f>17765147.2-D12-E12-F12-G12-H12-I12</f>
        <v>1255250</v>
      </c>
      <c r="K12" s="16">
        <f>18689397.2-D12-E12-F12-G12-H12-I12-J12</f>
        <v>924250</v>
      </c>
      <c r="L12" s="16">
        <f>19483447.2-D12-E12-F12-G12-H12-I12-J12-K12</f>
        <v>794050</v>
      </c>
      <c r="M12" s="40">
        <f>30028330.52-D12-E12-F12-G12-H12-I12-J12-K12-L12</f>
        <v>10544883.32</v>
      </c>
      <c r="N12" s="16">
        <f>32026630.52-D12-E12-F12-G12-H12-I12-J12-K12-L12-M12</f>
        <v>1998300</v>
      </c>
      <c r="O12" s="10">
        <v>0</v>
      </c>
      <c r="P12" s="15">
        <f t="shared" ref="P12:P14" si="2">SUM(D12:O12)</f>
        <v>32026630.52</v>
      </c>
    </row>
    <row r="13" spans="1:28" ht="30" hidden="1" x14ac:dyDescent="0.25">
      <c r="A13" s="7" t="s">
        <v>37</v>
      </c>
      <c r="B13" s="38">
        <v>0</v>
      </c>
      <c r="C13" s="34">
        <v>0</v>
      </c>
      <c r="D13" s="16">
        <v>0</v>
      </c>
      <c r="E13" s="16">
        <v>0</v>
      </c>
      <c r="F13" s="16">
        <v>0</v>
      </c>
      <c r="G13" s="16">
        <v>0</v>
      </c>
      <c r="H13" s="16">
        <f t="shared" ref="H13:H34" si="3">0-D13-E13-F13-G13</f>
        <v>0</v>
      </c>
      <c r="I13" s="16">
        <f>0-D13-E13-F13-G13-H13</f>
        <v>0</v>
      </c>
      <c r="J13" s="16">
        <f t="shared" ref="J13:J14" si="4">0-D13-E13-F13-G13-H13-I13</f>
        <v>0</v>
      </c>
      <c r="K13" s="16">
        <f t="shared" ref="K13:K34" si="5">0-D13-E13-F13-G13-H13-I13-J13</f>
        <v>0</v>
      </c>
      <c r="L13" s="40">
        <f>0-D13-E13-F13-G13-H13-I13-J13-K13</f>
        <v>0</v>
      </c>
      <c r="M13" s="40">
        <f t="shared" ref="M13:M14" si="6">0-D13-E13-F13-G13-H13-I13-J13-K13-L13</f>
        <v>0</v>
      </c>
      <c r="N13" s="16">
        <f t="shared" ref="N13:N14" si="7">0-D13-E13-F13-G13-H13-I13-J13-K13-L13-M13</f>
        <v>0</v>
      </c>
      <c r="O13" s="10">
        <v>0</v>
      </c>
      <c r="P13" s="15">
        <f>SUM(D13:O13)</f>
        <v>0</v>
      </c>
    </row>
    <row r="14" spans="1:28" ht="30" hidden="1" x14ac:dyDescent="0.25">
      <c r="A14" s="7" t="s">
        <v>5</v>
      </c>
      <c r="B14" s="38">
        <v>0</v>
      </c>
      <c r="C14" s="34">
        <v>0</v>
      </c>
      <c r="D14" s="16">
        <v>0</v>
      </c>
      <c r="E14" s="16">
        <v>0</v>
      </c>
      <c r="F14" s="16">
        <v>0</v>
      </c>
      <c r="G14" s="16">
        <v>0</v>
      </c>
      <c r="H14" s="16">
        <f t="shared" si="3"/>
        <v>0</v>
      </c>
      <c r="I14" s="16">
        <f>0-D14-E14-F14-G14-H14</f>
        <v>0</v>
      </c>
      <c r="J14" s="16">
        <f t="shared" si="4"/>
        <v>0</v>
      </c>
      <c r="K14" s="16">
        <f t="shared" si="5"/>
        <v>0</v>
      </c>
      <c r="L14" s="40">
        <f>0-D14-E14-F14-G14-H14-I14-J14-K14</f>
        <v>0</v>
      </c>
      <c r="M14" s="40">
        <f t="shared" si="6"/>
        <v>0</v>
      </c>
      <c r="N14" s="16">
        <f t="shared" si="7"/>
        <v>0</v>
      </c>
      <c r="O14" s="10">
        <v>0</v>
      </c>
      <c r="P14" s="15">
        <f t="shared" si="2"/>
        <v>0</v>
      </c>
    </row>
    <row r="15" spans="1:28" ht="25.5" x14ac:dyDescent="0.25">
      <c r="A15" s="44" t="s">
        <v>6</v>
      </c>
      <c r="B15" s="38">
        <v>19090992</v>
      </c>
      <c r="C15" s="34">
        <v>19205992</v>
      </c>
      <c r="D15" s="16">
        <v>1336709.54</v>
      </c>
      <c r="E15" s="16">
        <f>2673438.19-D15</f>
        <v>1336728.6499999999</v>
      </c>
      <c r="F15" s="16">
        <f>4086781.65-D15-E15</f>
        <v>1413343.46</v>
      </c>
      <c r="G15" s="16">
        <f>5552752.74-D15-E15-F15</f>
        <v>1465971.0900000003</v>
      </c>
      <c r="H15" s="16">
        <f>6986938.01-D15-E15-F15-G15</f>
        <v>1434185.27</v>
      </c>
      <c r="I15" s="16">
        <f>8422353.08-D15-E15-F15-G15-H15</f>
        <v>1435415.0700000003</v>
      </c>
      <c r="J15" s="16">
        <f>9857768.15-D15-E15-F15-G15-H15-I15</f>
        <v>1435415.069999998</v>
      </c>
      <c r="K15" s="16">
        <f>11180124.55-D15-E15-F15-G15-H15-I15-J15</f>
        <v>1322356.4000000022</v>
      </c>
      <c r="L15" s="40">
        <f>12203139.57-D15-E15-F15-G15-H15-I15-J15-K15</f>
        <v>1023015.02</v>
      </c>
      <c r="M15" s="40">
        <f>13224452.91-D15-E15-F15-G15-H15-I15-J15-K15-L15</f>
        <v>1021313.3400000017</v>
      </c>
      <c r="N15" s="16">
        <f>14281869.92-D15-E15-F15-G15-H15-I15-J15-K15-L15-M15</f>
        <v>1057417.0099999974</v>
      </c>
      <c r="O15" s="10">
        <v>0</v>
      </c>
      <c r="P15" s="15">
        <f>SUM(D15:O15)</f>
        <v>14281869.92</v>
      </c>
    </row>
    <row r="16" spans="1:28" s="27" customFormat="1" x14ac:dyDescent="0.25">
      <c r="A16" s="6" t="s">
        <v>7</v>
      </c>
      <c r="B16" s="35">
        <f>SUM(B17:B25)</f>
        <v>130179345</v>
      </c>
      <c r="C16" s="35">
        <f>SUM(C17:C25)</f>
        <v>172579462.43000001</v>
      </c>
      <c r="D16" s="35">
        <f>SUM(D17:D25)</f>
        <v>4540918.5</v>
      </c>
      <c r="E16" s="41">
        <f>SUM(E17:E25)</f>
        <v>8407761.7599999998</v>
      </c>
      <c r="F16" s="41">
        <f t="shared" ref="F16:O16" si="8">SUM(F17:F25)</f>
        <v>27304801.199999999</v>
      </c>
      <c r="G16" s="41">
        <f t="shared" si="8"/>
        <v>13854166.300000003</v>
      </c>
      <c r="H16" s="35">
        <f t="shared" si="8"/>
        <v>6380599.450000003</v>
      </c>
      <c r="I16" s="41">
        <f t="shared" si="8"/>
        <v>6023236.3499999987</v>
      </c>
      <c r="J16" s="41">
        <f t="shared" si="8"/>
        <v>6723508.7999999952</v>
      </c>
      <c r="K16" s="41">
        <f t="shared" si="8"/>
        <v>5144056.4500000011</v>
      </c>
      <c r="L16" s="41">
        <f t="shared" si="8"/>
        <v>10623418.050000004</v>
      </c>
      <c r="M16" s="41">
        <f t="shared" si="8"/>
        <v>3915819.5500000003</v>
      </c>
      <c r="N16" s="41">
        <f t="shared" si="8"/>
        <v>4397360.3999999985</v>
      </c>
      <c r="O16" s="36">
        <f t="shared" si="8"/>
        <v>0</v>
      </c>
      <c r="P16" s="35">
        <f>SUM(D16:O16)</f>
        <v>97315646.810000002</v>
      </c>
    </row>
    <row r="17" spans="1:16" x14ac:dyDescent="0.25">
      <c r="A17" s="7" t="s">
        <v>8</v>
      </c>
      <c r="B17" s="38">
        <v>10476000</v>
      </c>
      <c r="C17" s="34">
        <v>10729700</v>
      </c>
      <c r="D17" s="38">
        <v>939117.33</v>
      </c>
      <c r="E17" s="16">
        <f>1676611.1-D17</f>
        <v>737493.77000000014</v>
      </c>
      <c r="F17" s="40">
        <f>2495486.74-D17-E17</f>
        <v>818875.64</v>
      </c>
      <c r="G17" s="40">
        <f>3239394.63-D17-E17-F17</f>
        <v>743907.88999999978</v>
      </c>
      <c r="H17" s="16">
        <f>3912280.95-D17-E17-F17-G17</f>
        <v>672886.32000000018</v>
      </c>
      <c r="I17" s="40">
        <f>4772092.56-D17-E17-F17-G17-H17</f>
        <v>859811.60999999952</v>
      </c>
      <c r="J17" s="40">
        <f>5591675.64-D17-E17-F17-G17-H17-I17</f>
        <v>819583.08</v>
      </c>
      <c r="K17" s="40">
        <f>6405008.2-D17-E17-F17-G17-H17-I17-J17</f>
        <v>813332.56000000017</v>
      </c>
      <c r="L17" s="40">
        <f>7222844.9-D17-E17-F17-G17-H17-I17-J17-K17</f>
        <v>817836.70000000054</v>
      </c>
      <c r="M17" s="40">
        <f>8001291.41-D17-E17-F17-G17-H17-I17-J17-K17-L17</f>
        <v>778446.50999999989</v>
      </c>
      <c r="N17" s="40">
        <f>8853550.9-D17-E17-F17-G17-H17-I17-J17-K17-L17-M17</f>
        <v>852259.49000000011</v>
      </c>
      <c r="P17" s="10">
        <f>SUM(D17:O17)</f>
        <v>8853550.9000000004</v>
      </c>
    </row>
    <row r="18" spans="1:16" ht="30" x14ac:dyDescent="0.25">
      <c r="A18" s="7" t="s">
        <v>9</v>
      </c>
      <c r="B18" s="38">
        <v>14885500</v>
      </c>
      <c r="C18" s="34">
        <v>13185000</v>
      </c>
      <c r="D18" s="38">
        <v>216333.33</v>
      </c>
      <c r="E18" s="16">
        <f>304833.33-D18</f>
        <v>88500.000000000029</v>
      </c>
      <c r="F18" s="40">
        <f>304833.33-D18-E18</f>
        <v>0</v>
      </c>
      <c r="G18" s="40">
        <f>734597.3-D18-E18-F18</f>
        <v>429763.97000000009</v>
      </c>
      <c r="H18" s="16">
        <f>964579.3-D18-E18-F18-G18</f>
        <v>229982</v>
      </c>
      <c r="I18" s="40">
        <f>1795253.1-D18-E18-F18-G18-H18</f>
        <v>830673.79999999981</v>
      </c>
      <c r="J18" s="40">
        <f>2768753.1-D18-E18-F18-G18-H18-I18</f>
        <v>973500</v>
      </c>
      <c r="K18" s="40">
        <f>3761253.11-D18-E18-F18-G18-H18-I18-J18</f>
        <v>992500.00999999978</v>
      </c>
      <c r="L18" s="40">
        <f>5177253.11-D18-E18-F18-G18-H18-I18-J18-K18</f>
        <v>1416000.0000000009</v>
      </c>
      <c r="M18" s="40">
        <f>5275586.44-D18-E18-F18-G18-H18-I18-J18-K18-L18</f>
        <v>98333.330000000075</v>
      </c>
      <c r="N18" s="40">
        <f>5820136.77-D18-E18-F18-G18-H18-I18-J18-K18-L18-M18</f>
        <v>544550.32999999914</v>
      </c>
      <c r="P18" s="10">
        <f t="shared" ref="P18:P25" si="9">SUM(D18:O18)</f>
        <v>5820136.7699999996</v>
      </c>
    </row>
    <row r="19" spans="1:16" x14ac:dyDescent="0.25">
      <c r="A19" s="7" t="s">
        <v>10</v>
      </c>
      <c r="B19" s="38">
        <v>6200000</v>
      </c>
      <c r="C19" s="34">
        <v>6200000</v>
      </c>
      <c r="D19" s="38">
        <v>895866</v>
      </c>
      <c r="E19" s="16">
        <f>1131959-D19</f>
        <v>236093</v>
      </c>
      <c r="F19" s="40">
        <f>1768679.61-D19-E19</f>
        <v>636720.6100000001</v>
      </c>
      <c r="G19" s="40">
        <f>2157131.21-D19-E19-F19</f>
        <v>388451.59999999986</v>
      </c>
      <c r="H19" s="16">
        <f>2223481.21-D19-E19-F19-G19</f>
        <v>66350</v>
      </c>
      <c r="I19" s="40">
        <f>2427602.81-D19-E19-F19-G19-H19</f>
        <v>204121.60000000009</v>
      </c>
      <c r="J19" s="40">
        <f>2896384.51-D19-E19-F19-G19-H19-I19</f>
        <v>468781.69999999972</v>
      </c>
      <c r="K19" s="40">
        <f>2896384.51-D19-E19-F19-G19-H19-I19-J19</f>
        <v>0</v>
      </c>
      <c r="L19" s="40">
        <f>2896384.51-D19-E19-F19-G19-H19-I19-J19-K19</f>
        <v>0</v>
      </c>
      <c r="M19" s="40">
        <f>3154751.71-D19-E19-F19-G19-H19-I19-J19-K19-L19</f>
        <v>258367.20000000019</v>
      </c>
      <c r="N19" s="40">
        <f>3256301.71-D19-E19-F19-G19-H19-I19-J19-K19-L19-M19</f>
        <v>101550</v>
      </c>
      <c r="P19" s="10">
        <f t="shared" si="9"/>
        <v>3256301.71</v>
      </c>
    </row>
    <row r="20" spans="1:16" ht="18" customHeight="1" x14ac:dyDescent="0.25">
      <c r="A20" s="7" t="s">
        <v>11</v>
      </c>
      <c r="B20" s="38">
        <v>2092010</v>
      </c>
      <c r="C20" s="38">
        <v>2092010</v>
      </c>
      <c r="D20" s="38">
        <v>0</v>
      </c>
      <c r="E20" s="16">
        <f>515927.3-D20</f>
        <v>515927.3</v>
      </c>
      <c r="F20" s="40">
        <f>515927.3-D20-E20</f>
        <v>0</v>
      </c>
      <c r="G20" s="40">
        <f>1180070.85-D20-E20-F20</f>
        <v>664143.55000000005</v>
      </c>
      <c r="H20" s="16">
        <f>1286815.45-D20-E20-F20-G20</f>
        <v>106744.59999999986</v>
      </c>
      <c r="I20" s="40">
        <f>1286815.45-D20-E20-F20-G20-H20</f>
        <v>0</v>
      </c>
      <c r="J20" s="40">
        <f>1286815.45-D20-E20-F20-G20-H20-I20</f>
        <v>0</v>
      </c>
      <c r="K20" s="40">
        <f>1363316.94-D20-E20-F20-G20-H20-I20-J20</f>
        <v>76501.489999999991</v>
      </c>
      <c r="L20" s="40">
        <f>1363316.94-D20-E20-F20-G20-H20-I20-J20-K20</f>
        <v>0</v>
      </c>
      <c r="M20" s="40">
        <f>1363316.94-D20-E20-F20-G20-H20-I20-J20-K20-L20</f>
        <v>0</v>
      </c>
      <c r="N20" s="40">
        <f>1406658.8-D20-E20-F20-G20-H20-I20-J20-K20-L20-M20</f>
        <v>43341.860000000102</v>
      </c>
      <c r="P20" s="10">
        <f t="shared" si="9"/>
        <v>1406658.8</v>
      </c>
    </row>
    <row r="21" spans="1:16" x14ac:dyDescent="0.25">
      <c r="A21" s="7" t="s">
        <v>12</v>
      </c>
      <c r="B21" s="38">
        <v>2690956</v>
      </c>
      <c r="C21" s="34">
        <v>4383734</v>
      </c>
      <c r="D21" s="38">
        <v>0</v>
      </c>
      <c r="E21" s="16">
        <f>139240-D21</f>
        <v>139240</v>
      </c>
      <c r="F21" s="40">
        <f>313323.44-D21-E21</f>
        <v>174083.44</v>
      </c>
      <c r="G21" s="40">
        <f>565809.64-D21-E21-F21</f>
        <v>252486.2</v>
      </c>
      <c r="H21" s="16">
        <f>774669.64-D21-E21-F21-G21</f>
        <v>208860</v>
      </c>
      <c r="I21" s="40">
        <f>774669.64-D21-E21-F21-G21-H21</f>
        <v>0</v>
      </c>
      <c r="J21" s="40">
        <f>774669.64-D21-E21-F21-G21-H21-I21</f>
        <v>0</v>
      </c>
      <c r="K21" s="40">
        <f>774669.64-D21-E21-F21-G21-H21-I21-J21</f>
        <v>0</v>
      </c>
      <c r="L21" s="40">
        <f>950123.68-D21-E21-F21-G21-H21-I21-J21-K21</f>
        <v>175454.03999999998</v>
      </c>
      <c r="M21" s="40">
        <f>1298223.68-D21-E21-F21-G21-H21-I21-J21-K21-L21</f>
        <v>348100.00000000006</v>
      </c>
      <c r="N21" s="40">
        <f>1298223.68-D21-E21-F21-G21-H21-I21-J21-K21-L21-M21</f>
        <v>0</v>
      </c>
      <c r="P21" s="10">
        <f t="shared" si="9"/>
        <v>1298223.68</v>
      </c>
    </row>
    <row r="22" spans="1:16" x14ac:dyDescent="0.25">
      <c r="A22" s="7" t="s">
        <v>13</v>
      </c>
      <c r="B22" s="38">
        <v>19671646</v>
      </c>
      <c r="C22" s="34">
        <v>16494787</v>
      </c>
      <c r="D22" s="38">
        <v>2114295.48</v>
      </c>
      <c r="E22" s="16">
        <f>3702014.55-D22</f>
        <v>1587719.0699999998</v>
      </c>
      <c r="F22" s="40">
        <f>5005513.24-D22-E22</f>
        <v>1303498.6900000004</v>
      </c>
      <c r="G22" s="40">
        <f>5961603.76-D22-E22-F22</f>
        <v>956090.51999999955</v>
      </c>
      <c r="H22" s="16">
        <f>7023193.66-D22-E22-F22-G22</f>
        <v>1061589.8999999999</v>
      </c>
      <c r="I22" s="40">
        <f>8082114.17-D22-E22-F22-G22-H22</f>
        <v>1058920.5099999993</v>
      </c>
      <c r="J22" s="40">
        <f>9142024.07-D22-E22-F22-G22-H22-I22</f>
        <v>1059909.9000000004</v>
      </c>
      <c r="K22" s="40">
        <f>10267988.69-D22-E22-F22-G22-H22-I22-J22</f>
        <v>1125964.6199999992</v>
      </c>
      <c r="L22" s="40">
        <f>11377259.55-D22-E22-F22-G22-H22-I22-J22-K22</f>
        <v>1109270.8600000017</v>
      </c>
      <c r="M22" s="40">
        <f>12102286.62-D22-E22-F22-G22-H22-I22-J22-K22-L22</f>
        <v>725027.06999999844</v>
      </c>
      <c r="N22" s="40">
        <f>12824120.25-D22-E22-F22-G22-H22-I22-J22-K22-L22-M22</f>
        <v>721833.63000000035</v>
      </c>
      <c r="P22" s="10">
        <f t="shared" si="9"/>
        <v>12824120.25</v>
      </c>
    </row>
    <row r="23" spans="1:16" ht="38.25" x14ac:dyDescent="0.25">
      <c r="A23" s="44" t="s">
        <v>14</v>
      </c>
      <c r="B23" s="38">
        <v>2272000</v>
      </c>
      <c r="C23" s="34">
        <v>2711463</v>
      </c>
      <c r="D23" s="38">
        <v>24226.36</v>
      </c>
      <c r="E23" s="16">
        <f>251743.34-D23</f>
        <v>227516.97999999998</v>
      </c>
      <c r="F23" s="40">
        <f>312635.77-D23-E23</f>
        <v>60892.430000000051</v>
      </c>
      <c r="G23" s="40">
        <f>367942.71-D23-E23-F23</f>
        <v>55306.94</v>
      </c>
      <c r="H23" s="16">
        <f>377146.71-D23-E23-F23-G23</f>
        <v>9204</v>
      </c>
      <c r="I23" s="40">
        <f>504778.63-D23-E23-F23-G23-H23</f>
        <v>127631.91999999998</v>
      </c>
      <c r="J23" s="40">
        <f>699993.22-D23-E23-F23-G23-H23-I23</f>
        <v>195214.58999999997</v>
      </c>
      <c r="K23" s="40">
        <f>749553.22-D23-E23-F23-G23-H23-I23-J23</f>
        <v>49560</v>
      </c>
      <c r="L23" s="40">
        <f>799113.22-D23-E23-F23-G23-H23-I23-J23-K23</f>
        <v>49560</v>
      </c>
      <c r="M23" s="40">
        <f>1056182.15-D23-E23-F23-G23-H23-I23-J23-K23-L23</f>
        <v>257068.93000000005</v>
      </c>
      <c r="N23" s="40">
        <f>1132362.77-D23-E23-F23-G23-H23-I23-J23-K23-L23-M23</f>
        <v>76180.619999999879</v>
      </c>
      <c r="P23" s="10">
        <f t="shared" si="9"/>
        <v>1132362.7699999998</v>
      </c>
    </row>
    <row r="24" spans="1:16" ht="30" x14ac:dyDescent="0.25">
      <c r="A24" s="7" t="s">
        <v>15</v>
      </c>
      <c r="B24" s="38">
        <v>62658553</v>
      </c>
      <c r="C24" s="34">
        <v>98406427.430000007</v>
      </c>
      <c r="D24" s="38">
        <v>0</v>
      </c>
      <c r="E24" s="16">
        <f>3059027.94-D24</f>
        <v>3059027.94</v>
      </c>
      <c r="F24" s="40">
        <f>25826956.71-D24-E24</f>
        <v>22767928.77</v>
      </c>
      <c r="G24" s="40">
        <f>34616586.84-D24-E24-F24</f>
        <v>8789630.1300000027</v>
      </c>
      <c r="H24" s="16">
        <f>37224285.63-D24-E24-F24-G24</f>
        <v>2607698.7900000028</v>
      </c>
      <c r="I24" s="40">
        <f>39081720.7-D24-E24-F24-G24-H24</f>
        <v>1857435.0700000003</v>
      </c>
      <c r="J24" s="40">
        <f>41145665.11-D24-E24-F24-G24-H24-I24</f>
        <v>2063944.4099999964</v>
      </c>
      <c r="K24" s="40">
        <f>42048897.54-D24-E24-F24-G24-H24-I24-J24</f>
        <v>903232.4299999997</v>
      </c>
      <c r="L24" s="40">
        <f>48736362.03-D24-E24-F24-G24-H24-I24-J24-K24</f>
        <v>6687464.4900000021</v>
      </c>
      <c r="M24" s="40">
        <f>49884628.74-D24-E24-F24-G24-H24-I24-J24-K24-L24</f>
        <v>1148266.7100000009</v>
      </c>
      <c r="N24" s="40">
        <f>51139967.61-D24-E24-F24-G24-H24-I24-J24-K24-L24-M24</f>
        <v>1255338.8699999973</v>
      </c>
      <c r="P24" s="10">
        <f t="shared" si="9"/>
        <v>51139967.610000007</v>
      </c>
    </row>
    <row r="25" spans="1:16" x14ac:dyDescent="0.25">
      <c r="A25" s="44" t="s">
        <v>38</v>
      </c>
      <c r="B25" s="38">
        <v>9232680</v>
      </c>
      <c r="C25" s="34">
        <v>18376341</v>
      </c>
      <c r="D25" s="38">
        <v>351080</v>
      </c>
      <c r="E25" s="16">
        <f>2167323.7-D25</f>
        <v>1816243.7000000002</v>
      </c>
      <c r="F25" s="40">
        <f>3710125.32-D25-E25</f>
        <v>1542801.6199999996</v>
      </c>
      <c r="G25" s="40">
        <f>5284510.82-D25-E25-F25</f>
        <v>1574385.5000000005</v>
      </c>
      <c r="H25" s="16">
        <f>6701794.66-D25-E25-F25-G25</f>
        <v>1417283.8399999999</v>
      </c>
      <c r="I25" s="40">
        <f>7786436.5-D25-E25-F25-G25-H25</f>
        <v>1084641.8399999999</v>
      </c>
      <c r="J25" s="40">
        <f>8929011.62-D25-E25-F25-G25-H25-I25</f>
        <v>1142575.1199999987</v>
      </c>
      <c r="K25" s="40">
        <f>10111976.96-D25-E25-F25-G25-H25-I25-J25</f>
        <v>1182965.3400000022</v>
      </c>
      <c r="L25" s="40">
        <f>10479808.92-D25-E25-F25-G25-H25-I25-J25-K25</f>
        <v>367831.95999999903</v>
      </c>
      <c r="M25" s="40">
        <f>10782018.72-D25-E25-F25-G25-H25-I25-J25-K25-L25</f>
        <v>302209.80000000075</v>
      </c>
      <c r="N25" s="40">
        <f>11584324.32-D25-E25-F25-G25-H25-I25-J25-K25-L25-M25</f>
        <v>802305.60000000149</v>
      </c>
      <c r="P25" s="10">
        <f t="shared" si="9"/>
        <v>11584324.320000002</v>
      </c>
    </row>
    <row r="26" spans="1:16" s="27" customFormat="1" ht="19.5" customHeight="1" x14ac:dyDescent="0.25">
      <c r="A26" s="6" t="s">
        <v>16</v>
      </c>
      <c r="B26" s="35">
        <f>SUM(B27:B35)</f>
        <v>13621613</v>
      </c>
      <c r="C26" s="35">
        <f>SUM(C27:C35)</f>
        <v>18376580.16</v>
      </c>
      <c r="D26" s="35">
        <f>SUM(D27:D35)</f>
        <v>0</v>
      </c>
      <c r="E26" s="41">
        <f>SUM(E27:E35)</f>
        <v>773948.79</v>
      </c>
      <c r="F26" s="41">
        <f t="shared" ref="F26:O26" si="10">SUM(F27:F35)</f>
        <v>1904466.3</v>
      </c>
      <c r="G26" s="41">
        <f t="shared" si="10"/>
        <v>708022.34000000008</v>
      </c>
      <c r="H26" s="35">
        <f t="shared" si="10"/>
        <v>769124.2</v>
      </c>
      <c r="I26" s="41">
        <f t="shared" si="10"/>
        <v>752913.7</v>
      </c>
      <c r="J26" s="41">
        <f t="shared" si="10"/>
        <v>839570.09999999986</v>
      </c>
      <c r="K26" s="41">
        <f t="shared" si="10"/>
        <v>400000</v>
      </c>
      <c r="L26" s="41">
        <f t="shared" si="10"/>
        <v>435677.60000000056</v>
      </c>
      <c r="M26" s="41">
        <f t="shared" si="10"/>
        <v>522527.99999999994</v>
      </c>
      <c r="N26" s="41">
        <f t="shared" si="10"/>
        <v>636460.72999999952</v>
      </c>
      <c r="O26" s="36">
        <f t="shared" si="10"/>
        <v>0</v>
      </c>
      <c r="P26" s="35">
        <f>SUM(D26:O26)</f>
        <v>7742711.7599999998</v>
      </c>
    </row>
    <row r="27" spans="1:16" ht="24.95" customHeight="1" x14ac:dyDescent="0.25">
      <c r="A27" s="44" t="s">
        <v>17</v>
      </c>
      <c r="B27" s="38">
        <v>571050</v>
      </c>
      <c r="C27" s="34">
        <v>961050</v>
      </c>
      <c r="D27" s="16">
        <v>0</v>
      </c>
      <c r="E27" s="40">
        <f>0-D27</f>
        <v>0</v>
      </c>
      <c r="F27" s="40">
        <f>86724.1-D27-E27</f>
        <v>86724.1</v>
      </c>
      <c r="G27" s="40">
        <f>163671.9-D27-E27-F27</f>
        <v>76947.799999999988</v>
      </c>
      <c r="H27" s="16">
        <f>182404.4-D27-E27-F27-G27</f>
        <v>18732.5</v>
      </c>
      <c r="I27" s="16">
        <f>182404.4-D27-E27-F27-G27-H27</f>
        <v>0</v>
      </c>
      <c r="J27" s="40">
        <f>238125.96-D27-E27-F27-G27-H27-I27</f>
        <v>55721.56</v>
      </c>
      <c r="K27" s="40">
        <f>238125.96-D27-E27-F27-G27-H27-I27-J27</f>
        <v>0</v>
      </c>
      <c r="L27" s="40">
        <f>238125.96-D27-E27-F27-G27-H27-I27-J27-K27</f>
        <v>0</v>
      </c>
      <c r="M27" s="40">
        <f>254925.96-D27-E27-F27-G27-H27-I27-J27-K27-L27</f>
        <v>16800</v>
      </c>
      <c r="N27" s="40">
        <f>351598.89-D27-E27-F27-G27-H27-I27-J27-K27-L27-M27</f>
        <v>96672.930000000051</v>
      </c>
      <c r="P27" s="10">
        <f>SUM(D27:O27)</f>
        <v>351598.89</v>
      </c>
    </row>
    <row r="28" spans="1:16" x14ac:dyDescent="0.25">
      <c r="A28" s="7" t="s">
        <v>18</v>
      </c>
      <c r="B28" s="38">
        <v>34500</v>
      </c>
      <c r="C28" s="34">
        <v>950000</v>
      </c>
      <c r="D28" s="16">
        <v>0</v>
      </c>
      <c r="E28" s="40">
        <f>198240-D28</f>
        <v>198240</v>
      </c>
      <c r="F28" s="40">
        <f>288274-D28-E28</f>
        <v>90034</v>
      </c>
      <c r="G28" s="40">
        <f>288274-D28-E28-F28</f>
        <v>0</v>
      </c>
      <c r="H28" s="16">
        <f>288274-D28-E28-F28-G28</f>
        <v>0</v>
      </c>
      <c r="I28" s="16">
        <f>288274-D28-E28-F28-G28-H28</f>
        <v>0</v>
      </c>
      <c r="J28" s="40">
        <f>341720.92-D28-E28-F28-G28-H28-I28</f>
        <v>53446.919999999984</v>
      </c>
      <c r="K28" s="40">
        <f>341720.92-D28-E28-F28-G28-H28-I28-J28</f>
        <v>0</v>
      </c>
      <c r="L28" s="40">
        <f>341720.92-D28-E28-F28-G28-H28-I28-J28-K28</f>
        <v>0</v>
      </c>
      <c r="M28" s="40">
        <f>341720.92-D28-E28-F28-G28-H28-I28-J28-K28-L28</f>
        <v>0</v>
      </c>
      <c r="N28" s="40">
        <f>342079.64-D28-E28-F28-G28-H28-I28-J28-K28-L28-M28</f>
        <v>358.72000000003027</v>
      </c>
      <c r="P28" s="10">
        <f t="shared" ref="P28:P35" si="11">SUM(D28:O28)</f>
        <v>342079.64</v>
      </c>
    </row>
    <row r="29" spans="1:16" ht="25.5" x14ac:dyDescent="0.25">
      <c r="A29" s="44" t="s">
        <v>19</v>
      </c>
      <c r="B29" s="38">
        <v>650600</v>
      </c>
      <c r="C29" s="34">
        <v>1047750</v>
      </c>
      <c r="D29" s="16"/>
      <c r="E29" s="40">
        <f t="shared" ref="E29:E34" si="12">0-D29</f>
        <v>0</v>
      </c>
      <c r="F29" s="40">
        <v>0</v>
      </c>
      <c r="G29" s="40">
        <f>0-D29-E29-F29</f>
        <v>0</v>
      </c>
      <c r="H29" s="16">
        <f>29370.2-D29-E29-F29-G29</f>
        <v>29370.2</v>
      </c>
      <c r="I29" s="16">
        <f>128478.4-D29-E29-F29-G29-H29</f>
        <v>99108.2</v>
      </c>
      <c r="J29" s="42">
        <f>188878.48-D29-E29-F29-G29-H29-I29</f>
        <v>60400.08</v>
      </c>
      <c r="K29" s="40">
        <f>188878.48-D29-E29-F29-G29-H29-I29-J29</f>
        <v>0</v>
      </c>
      <c r="L29" s="40">
        <f>188878.48-D29-E29-F29-G29-H29-I29-J29-K29</f>
        <v>0</v>
      </c>
      <c r="M29" s="40">
        <f>294606.48-D29-E29-F29-G29-H29-I29-J29-K29-L29</f>
        <v>105727.99999999996</v>
      </c>
      <c r="N29" s="40">
        <f>300950.99-D29-E29-F29-G29-H29-I29-J29-K29-L29-M29</f>
        <v>6344.5100000000093</v>
      </c>
      <c r="P29" s="10">
        <f t="shared" si="11"/>
        <v>300950.98999999993</v>
      </c>
    </row>
    <row r="30" spans="1:16" x14ac:dyDescent="0.25">
      <c r="A30" s="7" t="s">
        <v>20</v>
      </c>
      <c r="B30" s="38">
        <v>0</v>
      </c>
      <c r="C30" s="34">
        <v>55000</v>
      </c>
      <c r="D30" s="16"/>
      <c r="E30" s="40">
        <f t="shared" si="12"/>
        <v>0</v>
      </c>
      <c r="F30" s="40">
        <v>0</v>
      </c>
      <c r="G30" s="40">
        <f t="shared" ref="G30:G34" si="13">0-D30-E30-F30</f>
        <v>0</v>
      </c>
      <c r="H30" s="16">
        <f t="shared" si="3"/>
        <v>0</v>
      </c>
      <c r="I30" s="16">
        <f t="shared" ref="I30:I34" si="14">0-D30-E30-F30-G30-H30</f>
        <v>0</v>
      </c>
      <c r="J30" s="40">
        <f t="shared" ref="J30:J34" si="15">0-D30-E30-F30-G30-H30-I30</f>
        <v>0</v>
      </c>
      <c r="K30" s="40">
        <f t="shared" si="5"/>
        <v>0</v>
      </c>
      <c r="L30" s="40">
        <f>0-D30-E30-F30-G30-H30-I30-J30-K30</f>
        <v>0</v>
      </c>
      <c r="M30" s="40">
        <f t="shared" ref="M30:M34" si="16">0-D30-E30-F30-G30-H30-I30-J30-K30-L30</f>
        <v>0</v>
      </c>
      <c r="N30" s="40">
        <f>16700-D30-E30-F30-G30-H30-I30-J30-K30-L30-M30</f>
        <v>16700</v>
      </c>
      <c r="P30" s="10">
        <f t="shared" si="11"/>
        <v>16700</v>
      </c>
    </row>
    <row r="31" spans="1:16" ht="25.5" x14ac:dyDescent="0.25">
      <c r="A31" s="44" t="s">
        <v>21</v>
      </c>
      <c r="B31" s="38">
        <v>190000</v>
      </c>
      <c r="C31" s="34">
        <v>320000</v>
      </c>
      <c r="D31" s="16"/>
      <c r="E31" s="40">
        <f t="shared" si="12"/>
        <v>0</v>
      </c>
      <c r="F31" s="40">
        <v>0</v>
      </c>
      <c r="G31" s="40">
        <f t="shared" si="13"/>
        <v>0</v>
      </c>
      <c r="H31" s="16">
        <f t="shared" si="3"/>
        <v>0</v>
      </c>
      <c r="I31" s="16">
        <f t="shared" si="14"/>
        <v>0</v>
      </c>
      <c r="J31" s="40">
        <f t="shared" si="15"/>
        <v>0</v>
      </c>
      <c r="K31" s="40">
        <f t="shared" si="5"/>
        <v>0</v>
      </c>
      <c r="L31" s="40">
        <f>0-D31-E31-F31-G31-H31-I31-J31-K31</f>
        <v>0</v>
      </c>
      <c r="M31" s="40">
        <f t="shared" si="16"/>
        <v>0</v>
      </c>
      <c r="N31" s="40">
        <f t="shared" ref="N31:N34" si="17">0-D31-E31-F31-G31-H31-I31-J31-K31-L31-M31</f>
        <v>0</v>
      </c>
      <c r="P31" s="10">
        <f t="shared" si="11"/>
        <v>0</v>
      </c>
    </row>
    <row r="32" spans="1:16" ht="25.5" x14ac:dyDescent="0.25">
      <c r="A32" s="44" t="s">
        <v>22</v>
      </c>
      <c r="B32" s="38">
        <v>43800</v>
      </c>
      <c r="C32" s="34">
        <v>35550</v>
      </c>
      <c r="D32" s="16"/>
      <c r="E32" s="40">
        <f t="shared" si="12"/>
        <v>0</v>
      </c>
      <c r="F32" s="40">
        <v>0</v>
      </c>
      <c r="G32" s="40">
        <f t="shared" si="13"/>
        <v>0</v>
      </c>
      <c r="H32" s="16">
        <f t="shared" si="3"/>
        <v>0</v>
      </c>
      <c r="I32" s="16">
        <f t="shared" si="14"/>
        <v>0</v>
      </c>
      <c r="J32" s="40">
        <f>708-D32-E32-F32-G32-H32-I32</f>
        <v>708</v>
      </c>
      <c r="K32" s="40">
        <f>708-D32-E32-F32-G32-H32-I32-J32</f>
        <v>0</v>
      </c>
      <c r="L32" s="40">
        <f>708-D32-E32-F32-G32-H32-I32-J32-K32</f>
        <v>0</v>
      </c>
      <c r="M32" s="40">
        <f>708-D32-E32-F32-G32-H32-I32-J32-K32-L32</f>
        <v>0</v>
      </c>
      <c r="N32" s="40">
        <f>708-D32-E32-F32-G32-H32-I32-J32-K32-L32-M32</f>
        <v>0</v>
      </c>
      <c r="P32" s="10">
        <f t="shared" si="11"/>
        <v>708</v>
      </c>
    </row>
    <row r="33" spans="1:16" ht="25.5" x14ac:dyDescent="0.25">
      <c r="A33" s="44" t="s">
        <v>23</v>
      </c>
      <c r="B33" s="38">
        <v>10659975</v>
      </c>
      <c r="C33" s="34">
        <v>10711325</v>
      </c>
      <c r="D33" s="16">
        <v>0</v>
      </c>
      <c r="E33" s="40">
        <f>500000-D33</f>
        <v>500000</v>
      </c>
      <c r="F33" s="40">
        <f>1640000-D33-E33</f>
        <v>1140000</v>
      </c>
      <c r="G33" s="40">
        <f>2240000-D33-E33-F33</f>
        <v>600000</v>
      </c>
      <c r="H33" s="16">
        <f>2890000-D33-E33-F33-G33</f>
        <v>650000</v>
      </c>
      <c r="I33" s="16">
        <f>3540000-D33-E33-F33-G33-H33</f>
        <v>650000</v>
      </c>
      <c r="J33" s="40">
        <f>4115134.8-D33-E33-F33-G33-H33-I33</f>
        <v>575134.79999999981</v>
      </c>
      <c r="K33" s="40">
        <f>4515134.8-D33-E33-F33-G33-H33-I33-J33</f>
        <v>400000</v>
      </c>
      <c r="L33" s="40">
        <f>4950812.4-D33-E33-F33-G33-H33-I33-J33-K33</f>
        <v>435677.60000000056</v>
      </c>
      <c r="M33" s="40">
        <f>5350812.4-D33-E33-F33-G33-H33-I33-J33-K33-L33</f>
        <v>400000</v>
      </c>
      <c r="N33" s="40">
        <f>5703657.43-D33-E33-F33-G33-H33-I33-J33-K33-L33-M33</f>
        <v>352845.02999999933</v>
      </c>
      <c r="P33" s="10">
        <f t="shared" si="11"/>
        <v>5703657.4299999997</v>
      </c>
    </row>
    <row r="34" spans="1:16" ht="45" hidden="1" x14ac:dyDescent="0.25">
      <c r="A34" s="7" t="s">
        <v>39</v>
      </c>
      <c r="B34" s="39">
        <v>0</v>
      </c>
      <c r="C34" s="39">
        <v>0</v>
      </c>
      <c r="D34" s="16">
        <v>0</v>
      </c>
      <c r="E34" s="40">
        <f t="shared" si="12"/>
        <v>0</v>
      </c>
      <c r="F34" s="40">
        <v>0</v>
      </c>
      <c r="G34" s="40">
        <f t="shared" si="13"/>
        <v>0</v>
      </c>
      <c r="H34" s="16">
        <f t="shared" si="3"/>
        <v>0</v>
      </c>
      <c r="I34" s="16">
        <f t="shared" si="14"/>
        <v>0</v>
      </c>
      <c r="J34" s="40">
        <f t="shared" si="15"/>
        <v>0</v>
      </c>
      <c r="K34" s="40">
        <f t="shared" si="5"/>
        <v>0</v>
      </c>
      <c r="L34" s="40">
        <f>0-D34-E34-F34-G34-H34-I34-J34-K34</f>
        <v>0</v>
      </c>
      <c r="M34" s="40">
        <f t="shared" si="16"/>
        <v>0</v>
      </c>
      <c r="N34" s="40">
        <f t="shared" si="17"/>
        <v>0</v>
      </c>
      <c r="O34" s="10">
        <v>0</v>
      </c>
      <c r="P34" s="10">
        <f t="shared" si="11"/>
        <v>0</v>
      </c>
    </row>
    <row r="35" spans="1:16" x14ac:dyDescent="0.25">
      <c r="A35" s="7" t="s">
        <v>24</v>
      </c>
      <c r="B35" s="38">
        <v>1471688</v>
      </c>
      <c r="C35" s="34">
        <v>4295905.16</v>
      </c>
      <c r="D35" s="16">
        <v>0</v>
      </c>
      <c r="E35" s="40">
        <f>75708.79-D35</f>
        <v>75708.789999999994</v>
      </c>
      <c r="F35" s="40">
        <f>663416.99-D35-E35</f>
        <v>587708.19999999995</v>
      </c>
      <c r="G35" s="40">
        <f>694491.53-D35-E35-F35</f>
        <v>31074.540000000037</v>
      </c>
      <c r="H35" s="16">
        <f>765513.03-D35-E35-F35-G35</f>
        <v>71021.5</v>
      </c>
      <c r="I35" s="16">
        <f>769318.53-D35-E35-F35-G35-H35</f>
        <v>3805.5</v>
      </c>
      <c r="J35" s="40">
        <f>863477.27-D35-E35-F35-G35-H35-I35</f>
        <v>94158.739999999991</v>
      </c>
      <c r="K35" s="40">
        <f>863477.27-D35-E35-F35-G35-H35-I35-J35</f>
        <v>0</v>
      </c>
      <c r="L35" s="40">
        <f>863477.27-D35-E35-F35-G35-H35-I35-J35-K35</f>
        <v>0</v>
      </c>
      <c r="M35" s="40">
        <f>863477.27-D35-E35-F35-G35-H35-I35-J35-K35-L35</f>
        <v>0</v>
      </c>
      <c r="N35" s="40">
        <f>1027016.81-D35-E35-F35-G35-H35-I35-J35-K35-L35-M35</f>
        <v>163539.54000000004</v>
      </c>
      <c r="P35" s="10">
        <f t="shared" si="11"/>
        <v>1027016.81</v>
      </c>
    </row>
    <row r="36" spans="1:16" s="27" customFormat="1" hidden="1" x14ac:dyDescent="0.25">
      <c r="A36" s="6" t="s">
        <v>25</v>
      </c>
      <c r="B36" s="35">
        <f>SUM(B37:B43)</f>
        <v>0</v>
      </c>
      <c r="C36" s="37">
        <f>SUM(C37:C43)</f>
        <v>0</v>
      </c>
      <c r="D36" s="35">
        <f>SUM(D37:D43)</f>
        <v>0</v>
      </c>
      <c r="E36" s="41">
        <f>SUM(E37:E43)</f>
        <v>0</v>
      </c>
      <c r="F36" s="41">
        <f t="shared" ref="F36" si="18">SUM(F37:F43)</f>
        <v>0</v>
      </c>
      <c r="G36" s="41">
        <f>SUM(G37:G43)</f>
        <v>0</v>
      </c>
      <c r="H36" s="35">
        <f>SUM(H37:H43)</f>
        <v>0</v>
      </c>
      <c r="I36" s="41">
        <f>SUM(I37:I43)</f>
        <v>0</v>
      </c>
      <c r="J36" s="41">
        <f>SUM(J37:J43)</f>
        <v>0</v>
      </c>
      <c r="K36" s="41">
        <f t="shared" ref="K36" si="19">SUM(K37:K43)</f>
        <v>0</v>
      </c>
      <c r="L36" s="41">
        <f t="shared" ref="L36" si="20">SUM(L37:L43)</f>
        <v>0</v>
      </c>
      <c r="M36" s="41">
        <f t="shared" ref="M36" si="21">SUM(M37:M43)</f>
        <v>0</v>
      </c>
      <c r="N36" s="41">
        <f t="shared" ref="N36" si="22">SUM(N37:N43)</f>
        <v>0</v>
      </c>
      <c r="O36" s="36">
        <f t="shared" ref="O36" si="23">SUM(O37:O43)</f>
        <v>0</v>
      </c>
      <c r="P36" s="36">
        <f>SUM(D36:O36)</f>
        <v>0</v>
      </c>
    </row>
    <row r="37" spans="1:16" ht="30" hidden="1" x14ac:dyDescent="0.25">
      <c r="A37" s="7" t="s">
        <v>26</v>
      </c>
      <c r="B37" s="16"/>
      <c r="C37" s="15"/>
      <c r="D37" s="16">
        <v>0</v>
      </c>
      <c r="E37" s="40">
        <v>0</v>
      </c>
      <c r="F37" s="40">
        <v>0</v>
      </c>
      <c r="G37" s="40">
        <f>0-D37-E37-F37</f>
        <v>0</v>
      </c>
      <c r="H37" s="16">
        <f>0-D37-E37-F37-G37</f>
        <v>0</v>
      </c>
      <c r="I37" s="40">
        <f>0-D37-E37-F37-G37-H37</f>
        <v>0</v>
      </c>
      <c r="J37" s="40">
        <f>0-D37-E37-F37-G37-H37-I37</f>
        <v>0</v>
      </c>
      <c r="K37" s="40">
        <f>0-D37-E37-F37-G37-H37-I37-J37</f>
        <v>0</v>
      </c>
      <c r="L37" s="43">
        <f>0-D37-E37-F37-G37-H37-I37-J37-K37</f>
        <v>0</v>
      </c>
      <c r="M37" s="40">
        <f>0-D37-E37-F37-G37-H37-I37-J37-K37-L37</f>
        <v>0</v>
      </c>
      <c r="N37" s="40"/>
      <c r="O37" s="10">
        <f>0-E37-F37-G37-H37-I37-J37-K37-L37-M37-N37-D37</f>
        <v>0</v>
      </c>
      <c r="P37" s="10">
        <f>SUM(D37:O37)</f>
        <v>0</v>
      </c>
    </row>
    <row r="38" spans="1:16" ht="30" hidden="1" x14ac:dyDescent="0.25">
      <c r="A38" s="7" t="s">
        <v>40</v>
      </c>
      <c r="B38" s="16"/>
      <c r="C38" s="15"/>
      <c r="D38" s="16"/>
      <c r="E38" s="40"/>
      <c r="F38" s="40"/>
      <c r="G38" s="40"/>
      <c r="H38" s="16"/>
      <c r="I38" s="40"/>
      <c r="J38" s="40"/>
      <c r="K38" s="40"/>
      <c r="L38" s="40"/>
      <c r="M38" s="40"/>
      <c r="N38" s="40"/>
      <c r="O38" s="10">
        <f>0-E38-F38-G38-H38-I38-J38-K38-L38-M38-N38-D38</f>
        <v>0</v>
      </c>
      <c r="P38" s="10">
        <f t="shared" ref="P38:P43" si="24">SUM(D38:O38)</f>
        <v>0</v>
      </c>
    </row>
    <row r="39" spans="1:16" ht="30" hidden="1" x14ac:dyDescent="0.25">
      <c r="A39" s="7" t="s">
        <v>41</v>
      </c>
      <c r="B39" s="16"/>
      <c r="C39" s="15"/>
      <c r="D39" s="16"/>
      <c r="E39" s="40"/>
      <c r="F39" s="40"/>
      <c r="G39" s="40"/>
      <c r="H39" s="16"/>
      <c r="I39" s="40"/>
      <c r="J39" s="40"/>
      <c r="K39" s="40"/>
      <c r="L39" s="40"/>
      <c r="M39" s="40"/>
      <c r="N39" s="40"/>
      <c r="P39" s="10">
        <f t="shared" si="24"/>
        <v>0</v>
      </c>
    </row>
    <row r="40" spans="1:16" ht="30" hidden="1" x14ac:dyDescent="0.25">
      <c r="A40" s="7" t="s">
        <v>42</v>
      </c>
      <c r="B40" s="16"/>
      <c r="C40" s="15"/>
      <c r="D40" s="16"/>
      <c r="E40" s="40"/>
      <c r="F40" s="40"/>
      <c r="G40" s="40"/>
      <c r="H40" s="16"/>
      <c r="I40" s="40"/>
      <c r="J40" s="40"/>
      <c r="K40" s="40"/>
      <c r="L40" s="40"/>
      <c r="M40" s="40"/>
      <c r="N40" s="40"/>
      <c r="P40" s="10">
        <f t="shared" si="24"/>
        <v>0</v>
      </c>
    </row>
    <row r="41" spans="1:16" ht="30" hidden="1" x14ac:dyDescent="0.25">
      <c r="A41" s="7" t="s">
        <v>43</v>
      </c>
      <c r="B41" s="16"/>
      <c r="C41" s="15"/>
      <c r="D41" s="16"/>
      <c r="E41" s="40"/>
      <c r="F41" s="40"/>
      <c r="G41" s="40"/>
      <c r="H41" s="16"/>
      <c r="I41" s="40"/>
      <c r="J41" s="40"/>
      <c r="K41" s="40"/>
      <c r="L41" s="40"/>
      <c r="M41" s="40"/>
      <c r="N41" s="40"/>
      <c r="P41" s="10">
        <f t="shared" si="24"/>
        <v>0</v>
      </c>
    </row>
    <row r="42" spans="1:16" ht="30" hidden="1" x14ac:dyDescent="0.25">
      <c r="A42" s="7" t="s">
        <v>27</v>
      </c>
      <c r="B42" s="16"/>
      <c r="C42" s="15"/>
      <c r="D42" s="16"/>
      <c r="E42" s="40"/>
      <c r="F42" s="40"/>
      <c r="G42" s="40"/>
      <c r="H42" s="16"/>
      <c r="I42" s="40"/>
      <c r="J42" s="40"/>
      <c r="K42" s="40"/>
      <c r="L42" s="40"/>
      <c r="M42" s="40"/>
      <c r="N42" s="40"/>
      <c r="P42" s="10">
        <f t="shared" si="24"/>
        <v>0</v>
      </c>
    </row>
    <row r="43" spans="1:16" ht="30" hidden="1" x14ac:dyDescent="0.25">
      <c r="A43" s="7" t="s">
        <v>44</v>
      </c>
      <c r="B43" s="16"/>
      <c r="C43" s="15"/>
      <c r="D43" s="16"/>
      <c r="E43" s="40"/>
      <c r="F43" s="40"/>
      <c r="G43" s="40"/>
      <c r="H43" s="16"/>
      <c r="I43" s="40"/>
      <c r="J43" s="40"/>
      <c r="K43" s="40"/>
      <c r="L43" s="40"/>
      <c r="M43" s="40"/>
      <c r="N43" s="40"/>
      <c r="P43" s="10">
        <f t="shared" si="24"/>
        <v>0</v>
      </c>
    </row>
    <row r="44" spans="1:16" s="27" customFormat="1" x14ac:dyDescent="0.25">
      <c r="A44" s="6" t="s">
        <v>45</v>
      </c>
      <c r="B44" s="35">
        <f>SUM(B45:B51)</f>
        <v>0</v>
      </c>
      <c r="C44" s="37">
        <f t="shared" ref="C44:O44" si="25">SUM(C45:C51)</f>
        <v>800800000</v>
      </c>
      <c r="D44" s="35">
        <f t="shared" si="25"/>
        <v>0</v>
      </c>
      <c r="E44" s="41">
        <f>SUM(E45:E51)</f>
        <v>0</v>
      </c>
      <c r="F44" s="41">
        <f t="shared" si="25"/>
        <v>800000000</v>
      </c>
      <c r="G44" s="41">
        <f t="shared" si="25"/>
        <v>0</v>
      </c>
      <c r="H44" s="35">
        <f t="shared" si="25"/>
        <v>0</v>
      </c>
      <c r="I44" s="41">
        <f t="shared" si="25"/>
        <v>0</v>
      </c>
      <c r="J44" s="41">
        <f t="shared" si="25"/>
        <v>0</v>
      </c>
      <c r="K44" s="41">
        <f t="shared" si="25"/>
        <v>0</v>
      </c>
      <c r="L44" s="41">
        <f t="shared" si="25"/>
        <v>0</v>
      </c>
      <c r="M44" s="41">
        <f t="shared" si="25"/>
        <v>0</v>
      </c>
      <c r="N44" s="41">
        <f t="shared" si="25"/>
        <v>0</v>
      </c>
      <c r="O44" s="36">
        <f t="shared" si="25"/>
        <v>0</v>
      </c>
      <c r="P44" s="36">
        <f>SUM(D44:O44)</f>
        <v>800000000</v>
      </c>
    </row>
    <row r="45" spans="1:16" ht="30" hidden="1" x14ac:dyDescent="0.25">
      <c r="A45" s="7" t="s">
        <v>46</v>
      </c>
      <c r="B45" s="16"/>
      <c r="C45" s="15"/>
      <c r="D45" s="16"/>
      <c r="E45" s="40"/>
      <c r="F45" s="40"/>
      <c r="G45" s="40"/>
      <c r="H45" s="16"/>
      <c r="I45" s="40"/>
      <c r="J45" s="40"/>
      <c r="K45" s="40"/>
      <c r="L45" s="40"/>
      <c r="M45" s="40"/>
      <c r="N45" s="40"/>
      <c r="P45" s="10">
        <f>SUM(D45:O45)</f>
        <v>0</v>
      </c>
    </row>
    <row r="46" spans="1:16" ht="30" hidden="1" x14ac:dyDescent="0.25">
      <c r="A46" s="7" t="s">
        <v>47</v>
      </c>
      <c r="B46" s="16"/>
      <c r="C46" s="34"/>
      <c r="D46" s="16"/>
      <c r="E46" s="40"/>
      <c r="F46" s="40"/>
      <c r="G46" s="40"/>
      <c r="H46" s="16"/>
      <c r="I46" s="40"/>
      <c r="J46" s="40"/>
      <c r="K46" s="40"/>
      <c r="L46" s="40"/>
      <c r="M46" s="40"/>
      <c r="N46" s="40"/>
      <c r="P46" s="10">
        <f t="shared" ref="P46:P51" si="26">SUM(D46:O46)</f>
        <v>0</v>
      </c>
    </row>
    <row r="47" spans="1:16" ht="30" hidden="1" x14ac:dyDescent="0.25">
      <c r="A47" s="7" t="s">
        <v>48</v>
      </c>
      <c r="B47" s="16"/>
      <c r="C47" s="34"/>
      <c r="D47" s="16"/>
      <c r="E47" s="40"/>
      <c r="F47" s="40"/>
      <c r="G47" s="40"/>
      <c r="H47" s="16"/>
      <c r="I47" s="40"/>
      <c r="J47" s="40"/>
      <c r="K47" s="40"/>
      <c r="L47" s="40"/>
      <c r="M47" s="40"/>
      <c r="N47" s="40"/>
      <c r="P47" s="10">
        <f t="shared" si="26"/>
        <v>0</v>
      </c>
    </row>
    <row r="48" spans="1:16" ht="25.5" x14ac:dyDescent="0.25">
      <c r="A48" s="44" t="s">
        <v>49</v>
      </c>
      <c r="B48" s="16">
        <v>0</v>
      </c>
      <c r="C48" s="34">
        <v>800800000</v>
      </c>
      <c r="D48" s="16">
        <v>0</v>
      </c>
      <c r="E48" s="40">
        <v>0</v>
      </c>
      <c r="F48" s="40">
        <f>800000000-D48-E48</f>
        <v>800000000</v>
      </c>
      <c r="G48" s="40">
        <f>800000000-D48-E48-F48</f>
        <v>0</v>
      </c>
      <c r="H48" s="16">
        <f>800000000-D48-E48-F48-G48</f>
        <v>0</v>
      </c>
      <c r="I48" s="16">
        <f>800000000-D48-E48-F48-G48-H48</f>
        <v>0</v>
      </c>
      <c r="J48" s="40">
        <f>800000000-D48-E48-F48-G48-H48-I48</f>
        <v>0</v>
      </c>
      <c r="K48" s="40">
        <f>800000000-D48-E48-F48-G48-H48-I48-J48</f>
        <v>0</v>
      </c>
      <c r="L48" s="40">
        <f>800000000-D48-E48-F48-G48-H48-I48-J48-K48</f>
        <v>0</v>
      </c>
      <c r="M48" s="40">
        <f>800000000-D48-E48-F48-G48-H48-I48-J48-K48-L48</f>
        <v>0</v>
      </c>
      <c r="N48" s="40">
        <f>800000000-D48-E48-F48-G48-H48-I48-J48-K48-L48-M48</f>
        <v>0</v>
      </c>
      <c r="O48" s="10">
        <v>0</v>
      </c>
      <c r="P48" s="10">
        <f t="shared" si="26"/>
        <v>800000000</v>
      </c>
    </row>
    <row r="49" spans="1:16" ht="30" hidden="1" x14ac:dyDescent="0.25">
      <c r="A49" s="7" t="s">
        <v>50</v>
      </c>
      <c r="B49" s="16"/>
      <c r="C49" s="34"/>
      <c r="D49" s="16"/>
      <c r="E49" s="40"/>
      <c r="F49" s="40"/>
      <c r="G49" s="40"/>
      <c r="H49" s="16"/>
      <c r="I49" s="40"/>
      <c r="J49" s="40"/>
      <c r="K49" s="40"/>
      <c r="L49" s="40"/>
      <c r="M49" s="40"/>
      <c r="N49" s="40"/>
      <c r="P49" s="10">
        <f t="shared" si="26"/>
        <v>0</v>
      </c>
    </row>
    <row r="50" spans="1:16" ht="30" hidden="1" x14ac:dyDescent="0.25">
      <c r="A50" s="7" t="s">
        <v>51</v>
      </c>
      <c r="B50" s="16"/>
      <c r="C50" s="15"/>
      <c r="D50" s="16"/>
      <c r="E50" s="40"/>
      <c r="F50" s="40"/>
      <c r="G50" s="40"/>
      <c r="H50" s="16"/>
      <c r="I50" s="40"/>
      <c r="J50" s="40"/>
      <c r="K50" s="40"/>
      <c r="L50" s="40"/>
      <c r="M50" s="40"/>
      <c r="N50" s="40"/>
      <c r="P50" s="10">
        <f t="shared" si="26"/>
        <v>0</v>
      </c>
    </row>
    <row r="51" spans="1:16" ht="30" hidden="1" x14ac:dyDescent="0.25">
      <c r="A51" s="7" t="s">
        <v>52</v>
      </c>
      <c r="B51" s="16"/>
      <c r="C51" s="15"/>
      <c r="D51" s="16"/>
      <c r="E51" s="40"/>
      <c r="F51" s="40"/>
      <c r="G51" s="40"/>
      <c r="H51" s="16"/>
      <c r="I51" s="40"/>
      <c r="J51" s="40"/>
      <c r="K51" s="40"/>
      <c r="L51" s="40"/>
      <c r="M51" s="40"/>
      <c r="N51" s="40"/>
      <c r="P51" s="10">
        <f t="shared" si="26"/>
        <v>0</v>
      </c>
    </row>
    <row r="52" spans="1:16" s="27" customFormat="1" ht="30" customHeight="1" x14ac:dyDescent="0.25">
      <c r="A52" s="6" t="s">
        <v>28</v>
      </c>
      <c r="B52" s="35">
        <f>SUM(B53:B61)</f>
        <v>61050</v>
      </c>
      <c r="C52" s="35">
        <f>SUM(C53:C61)</f>
        <v>10494006</v>
      </c>
      <c r="D52" s="35">
        <f>SUM(D53:D61)</f>
        <v>0</v>
      </c>
      <c r="E52" s="41">
        <f>SUM(E53:E61)</f>
        <v>0</v>
      </c>
      <c r="F52" s="41">
        <f t="shared" ref="F52:O52" si="27">SUM(F53:F61)</f>
        <v>1604328.37</v>
      </c>
      <c r="G52" s="41">
        <f t="shared" si="27"/>
        <v>651786.32999999996</v>
      </c>
      <c r="H52" s="35">
        <f t="shared" si="27"/>
        <v>795.01</v>
      </c>
      <c r="I52" s="41">
        <f t="shared" si="27"/>
        <v>0</v>
      </c>
      <c r="J52" s="41">
        <f t="shared" si="27"/>
        <v>264542.48000000004</v>
      </c>
      <c r="K52" s="41">
        <f t="shared" si="27"/>
        <v>0</v>
      </c>
      <c r="L52" s="41">
        <f t="shared" si="27"/>
        <v>0</v>
      </c>
      <c r="M52" s="41">
        <f t="shared" si="27"/>
        <v>0</v>
      </c>
      <c r="N52" s="41">
        <f t="shared" si="27"/>
        <v>0</v>
      </c>
      <c r="O52" s="36">
        <f t="shared" si="27"/>
        <v>0</v>
      </c>
      <c r="P52" s="35">
        <f>SUM(D52:O52)</f>
        <v>2521452.19</v>
      </c>
    </row>
    <row r="53" spans="1:16" x14ac:dyDescent="0.25">
      <c r="A53" s="7" t="s">
        <v>29</v>
      </c>
      <c r="B53" s="38">
        <v>30900</v>
      </c>
      <c r="C53" s="34">
        <v>4883856</v>
      </c>
      <c r="D53" s="16"/>
      <c r="E53" s="40"/>
      <c r="F53" s="40">
        <f>908128.37-D53-E53</f>
        <v>908128.37</v>
      </c>
      <c r="G53" s="40">
        <f>1559914.7-D53-E53-F53</f>
        <v>651786.32999999996</v>
      </c>
      <c r="H53" s="16">
        <f>1559914.7-D53-E53-F53-G53</f>
        <v>0</v>
      </c>
      <c r="I53" s="16">
        <f>1559914.7-D53-E53-F53-G53-H53</f>
        <v>0</v>
      </c>
      <c r="J53" s="40">
        <f>1559914.7-D53-E53-F53-G53-H53-I53</f>
        <v>0</v>
      </c>
      <c r="K53" s="40">
        <f>1559914.7-D53-E53-F53-G53-H53-I53-J53</f>
        <v>0</v>
      </c>
      <c r="L53" s="40">
        <f>1559914.7-D53-E53-F53-G53-H53-I53-J53-K53</f>
        <v>0</v>
      </c>
      <c r="M53" s="40">
        <f>1559914.7-D53-E53-F53-G53-H53-I53-J53-K53-L53</f>
        <v>0</v>
      </c>
      <c r="N53" s="40">
        <f>1559914.7-D53-E53-F53-G53-H53-I53-J53-K53-L53-M53</f>
        <v>0</v>
      </c>
      <c r="P53" s="10">
        <f>SUM(D53:O53)</f>
        <v>1559914.7</v>
      </c>
    </row>
    <row r="54" spans="1:16" ht="30" x14ac:dyDescent="0.25">
      <c r="A54" s="7" t="s">
        <v>30</v>
      </c>
      <c r="B54" s="38">
        <v>0</v>
      </c>
      <c r="C54" s="34">
        <v>250000</v>
      </c>
      <c r="D54" s="16"/>
      <c r="E54" s="40"/>
      <c r="F54" s="40"/>
      <c r="G54" s="40">
        <v>0</v>
      </c>
      <c r="H54" s="16">
        <f t="shared" ref="H54:H61" si="28">0-D54-E54-F54-G54</f>
        <v>0</v>
      </c>
      <c r="I54" s="16">
        <f t="shared" ref="I54:I61" si="29">0-D54-E54-F54-G54-H54</f>
        <v>0</v>
      </c>
      <c r="J54" s="40">
        <f t="shared" ref="J54:J59" si="30">0-D54-E54-F54-G54-H54-I54</f>
        <v>0</v>
      </c>
      <c r="K54" s="40">
        <f t="shared" ref="K54:K59" si="31">0-D54-E54-F54-G54-H54-I54-J54</f>
        <v>0</v>
      </c>
      <c r="L54" s="40">
        <f>0-D54-E54-F54-G54-H54-I54-J54-K54</f>
        <v>0</v>
      </c>
      <c r="M54" s="40">
        <f t="shared" ref="M54:M59" si="32">0-D54-E54-F54-G54-H54-I54-J54-K54-L54</f>
        <v>0</v>
      </c>
      <c r="N54" s="40">
        <f t="shared" ref="N54:N59" si="33">0-D54-E54-F54-G54-H54-I54-J54-K54-L54-M54</f>
        <v>0</v>
      </c>
      <c r="P54" s="10">
        <f t="shared" ref="P54:P60" si="34">SUM(D54:O54)</f>
        <v>0</v>
      </c>
    </row>
    <row r="55" spans="1:16" ht="30" hidden="1" x14ac:dyDescent="0.25">
      <c r="A55" s="7" t="s">
        <v>31</v>
      </c>
      <c r="B55" s="38">
        <v>0</v>
      </c>
      <c r="C55" s="34">
        <v>0</v>
      </c>
      <c r="D55" s="16"/>
      <c r="E55" s="40"/>
      <c r="F55" s="40"/>
      <c r="G55" s="40">
        <v>0</v>
      </c>
      <c r="H55" s="16">
        <f t="shared" si="28"/>
        <v>0</v>
      </c>
      <c r="I55" s="16">
        <f t="shared" si="29"/>
        <v>0</v>
      </c>
      <c r="J55" s="40">
        <f t="shared" si="30"/>
        <v>0</v>
      </c>
      <c r="K55" s="40">
        <f t="shared" si="31"/>
        <v>0</v>
      </c>
      <c r="L55" s="40">
        <f>0-D55-E55-F55-G55-H55-I55-J55-K55</f>
        <v>0</v>
      </c>
      <c r="M55" s="40">
        <f t="shared" si="32"/>
        <v>0</v>
      </c>
      <c r="N55" s="40">
        <f t="shared" si="33"/>
        <v>0</v>
      </c>
      <c r="P55" s="10">
        <f t="shared" si="34"/>
        <v>0</v>
      </c>
    </row>
    <row r="56" spans="1:16" ht="30" hidden="1" x14ac:dyDescent="0.25">
      <c r="A56" s="7" t="s">
        <v>32</v>
      </c>
      <c r="B56" s="38">
        <v>0</v>
      </c>
      <c r="C56" s="34">
        <v>0</v>
      </c>
      <c r="D56" s="16"/>
      <c r="E56" s="40"/>
      <c r="F56" s="40"/>
      <c r="G56" s="40">
        <v>0</v>
      </c>
      <c r="H56" s="16">
        <f t="shared" si="28"/>
        <v>0</v>
      </c>
      <c r="I56" s="16">
        <f t="shared" si="29"/>
        <v>0</v>
      </c>
      <c r="J56" s="40">
        <f t="shared" si="30"/>
        <v>0</v>
      </c>
      <c r="K56" s="40">
        <f t="shared" si="31"/>
        <v>0</v>
      </c>
      <c r="L56" s="40">
        <f>0-D56-E56-F56-G56-H56-I56-J56-K56</f>
        <v>0</v>
      </c>
      <c r="M56" s="40">
        <f t="shared" si="32"/>
        <v>0</v>
      </c>
      <c r="N56" s="40">
        <f t="shared" si="33"/>
        <v>0</v>
      </c>
      <c r="P56" s="10">
        <f t="shared" si="34"/>
        <v>0</v>
      </c>
    </row>
    <row r="57" spans="1:16" ht="30" customHeight="1" x14ac:dyDescent="0.25">
      <c r="A57" s="44" t="s">
        <v>33</v>
      </c>
      <c r="B57" s="38">
        <v>30150</v>
      </c>
      <c r="C57" s="34">
        <v>60150</v>
      </c>
      <c r="D57" s="16"/>
      <c r="E57" s="40"/>
      <c r="F57" s="40">
        <f>0-D57-E57</f>
        <v>0</v>
      </c>
      <c r="G57" s="40">
        <f>0-D57-E57-F57</f>
        <v>0</v>
      </c>
      <c r="H57" s="16">
        <f>795.01-D57-E57-F57-G57</f>
        <v>795.01</v>
      </c>
      <c r="I57" s="16">
        <f>795.01-D57-E57-F57-G57-H57</f>
        <v>0</v>
      </c>
      <c r="J57" s="40">
        <f>18686.54-D57-E57-F57-G57-H57-I57</f>
        <v>17891.530000000002</v>
      </c>
      <c r="K57" s="40">
        <f>18686.54-D57-E57-F57-G57-H57-I57-J57</f>
        <v>0</v>
      </c>
      <c r="L57" s="40">
        <f>18686.54-D57-E57-F57-G57-H57-I57-J57-K57</f>
        <v>0</v>
      </c>
      <c r="M57" s="40">
        <f>18686.54-D57-E57-F57-G57-H57-I57-J57-K57-L57</f>
        <v>0</v>
      </c>
      <c r="N57" s="40">
        <f>18686.54-D57-E57-F57-G57-H57-I57-J57-K57-L57-M57</f>
        <v>0</v>
      </c>
      <c r="P57" s="10">
        <f t="shared" si="34"/>
        <v>18686.54</v>
      </c>
    </row>
    <row r="58" spans="1:16" ht="15" customHeight="1" x14ac:dyDescent="0.25">
      <c r="A58" s="7" t="s">
        <v>53</v>
      </c>
      <c r="B58" s="38">
        <v>0</v>
      </c>
      <c r="C58" s="34">
        <v>400000</v>
      </c>
      <c r="D58" s="16"/>
      <c r="E58" s="40"/>
      <c r="F58" s="40">
        <f t="shared" ref="F58:F61" si="35">0-D58-E58</f>
        <v>0</v>
      </c>
      <c r="G58" s="40">
        <v>0</v>
      </c>
      <c r="H58" s="16">
        <f t="shared" si="28"/>
        <v>0</v>
      </c>
      <c r="I58" s="16">
        <f t="shared" si="29"/>
        <v>0</v>
      </c>
      <c r="J58" s="40">
        <f t="shared" si="30"/>
        <v>0</v>
      </c>
      <c r="K58" s="40">
        <f t="shared" si="31"/>
        <v>0</v>
      </c>
      <c r="L58" s="40">
        <f>0-D58-E58-F58-G58-H58-I58-J58-K58</f>
        <v>0</v>
      </c>
      <c r="M58" s="40">
        <f t="shared" si="32"/>
        <v>0</v>
      </c>
      <c r="N58" s="40">
        <f t="shared" si="33"/>
        <v>0</v>
      </c>
      <c r="P58" s="10">
        <f t="shared" si="34"/>
        <v>0</v>
      </c>
    </row>
    <row r="59" spans="1:16" ht="30" hidden="1" x14ac:dyDescent="0.25">
      <c r="A59" s="7" t="s">
        <v>54</v>
      </c>
      <c r="B59" s="38">
        <v>0</v>
      </c>
      <c r="C59" s="34">
        <v>0</v>
      </c>
      <c r="D59" s="16"/>
      <c r="E59" s="40"/>
      <c r="F59" s="40">
        <f t="shared" si="35"/>
        <v>0</v>
      </c>
      <c r="G59" s="40">
        <v>0</v>
      </c>
      <c r="H59" s="16">
        <f t="shared" si="28"/>
        <v>0</v>
      </c>
      <c r="I59" s="16">
        <f t="shared" si="29"/>
        <v>0</v>
      </c>
      <c r="J59" s="40">
        <f t="shared" si="30"/>
        <v>0</v>
      </c>
      <c r="K59" s="40">
        <f t="shared" si="31"/>
        <v>0</v>
      </c>
      <c r="L59" s="40">
        <f>0-D59-E59-F59-G59-H59-I59-J59-K59</f>
        <v>0</v>
      </c>
      <c r="M59" s="40">
        <f t="shared" si="32"/>
        <v>0</v>
      </c>
      <c r="N59" s="40">
        <f t="shared" si="33"/>
        <v>0</v>
      </c>
      <c r="P59" s="10">
        <f t="shared" si="34"/>
        <v>0</v>
      </c>
    </row>
    <row r="60" spans="1:16" x14ac:dyDescent="0.25">
      <c r="A60" s="7" t="s">
        <v>34</v>
      </c>
      <c r="B60" s="38"/>
      <c r="C60" s="34">
        <v>4400000</v>
      </c>
      <c r="D60" s="16"/>
      <c r="E60" s="40"/>
      <c r="F60" s="40">
        <f>696200-D60-E60</f>
        <v>696200</v>
      </c>
      <c r="G60" s="40">
        <f>696200-D60-E60-F60</f>
        <v>0</v>
      </c>
      <c r="H60" s="16">
        <f>696200-D60-E60-F60-G60</f>
        <v>0</v>
      </c>
      <c r="I60" s="16">
        <f>696200-D60-E60-F60-G60-H60</f>
        <v>0</v>
      </c>
      <c r="J60" s="40">
        <f>696200-D60-E60-F60-G60-H60-I60</f>
        <v>0</v>
      </c>
      <c r="K60" s="40">
        <f>696200-D60-E60-F60-G60-H60-I60-J60</f>
        <v>0</v>
      </c>
      <c r="L60" s="40">
        <f>696200-D60-E60-F60-G60-H60-I60-J60-K60</f>
        <v>0</v>
      </c>
      <c r="M60" s="40">
        <f>696200-D60-E60-F60-G60-H60-I60-J60-K60-L60</f>
        <v>0</v>
      </c>
      <c r="N60" s="40">
        <f>696200-D60-E60-F60-G60-H60-I60-J60-K60-L60-M60</f>
        <v>0</v>
      </c>
      <c r="P60" s="10">
        <f t="shared" si="34"/>
        <v>696200</v>
      </c>
    </row>
    <row r="61" spans="1:16" ht="25.5" x14ac:dyDescent="0.25">
      <c r="A61" s="44" t="s">
        <v>55</v>
      </c>
      <c r="B61" s="38">
        <v>0</v>
      </c>
      <c r="C61" s="34">
        <v>500000</v>
      </c>
      <c r="D61" s="16"/>
      <c r="E61" s="40"/>
      <c r="F61" s="40">
        <f t="shared" si="35"/>
        <v>0</v>
      </c>
      <c r="G61" s="40">
        <v>0</v>
      </c>
      <c r="H61" s="16">
        <f t="shared" si="28"/>
        <v>0</v>
      </c>
      <c r="I61" s="16">
        <f t="shared" si="29"/>
        <v>0</v>
      </c>
      <c r="J61" s="40">
        <f>246650.95-D61-E61-F61-G61-H61-I61</f>
        <v>246650.95</v>
      </c>
      <c r="K61" s="40">
        <f>246650.95-D61-E61-F61-G61-H61-I61-J61</f>
        <v>0</v>
      </c>
      <c r="L61" s="40">
        <f>246650.95-D61-E61-F61-G61-H61-I61-J61-K61</f>
        <v>0</v>
      </c>
      <c r="M61" s="40">
        <f>246650.95-D61-E61-F61-G61-H61-I61-J61-K61-L61</f>
        <v>0</v>
      </c>
      <c r="N61" s="40">
        <f>246650.95-D61-E61-F61-G61-H61-I61-J61-K61-L61-M61</f>
        <v>0</v>
      </c>
      <c r="P61" s="10">
        <f>SUM(D61:O61)</f>
        <v>246650.95</v>
      </c>
    </row>
    <row r="62" spans="1:16" s="27" customFormat="1" hidden="1" x14ac:dyDescent="0.25">
      <c r="A62" s="6" t="s">
        <v>56</v>
      </c>
      <c r="B62" s="35">
        <f>SUM(B63:B66)</f>
        <v>0</v>
      </c>
      <c r="C62" s="37">
        <f t="shared" ref="C62:D62" si="36">SUM(C63:C66)</f>
        <v>0</v>
      </c>
      <c r="D62" s="35">
        <f t="shared" si="36"/>
        <v>0</v>
      </c>
      <c r="E62" s="41">
        <f>SUM(E63:E66)</f>
        <v>0</v>
      </c>
      <c r="F62" s="41">
        <f t="shared" ref="F62:O62" si="37">SUM(F63:F66)</f>
        <v>0</v>
      </c>
      <c r="G62" s="41">
        <f t="shared" si="37"/>
        <v>0</v>
      </c>
      <c r="H62" s="35">
        <f t="shared" si="37"/>
        <v>0</v>
      </c>
      <c r="I62" s="41">
        <f t="shared" si="37"/>
        <v>0</v>
      </c>
      <c r="J62" s="41">
        <f t="shared" si="37"/>
        <v>0</v>
      </c>
      <c r="K62" s="41">
        <f t="shared" si="37"/>
        <v>0</v>
      </c>
      <c r="L62" s="41">
        <f t="shared" si="37"/>
        <v>0</v>
      </c>
      <c r="M62" s="41">
        <f t="shared" si="37"/>
        <v>0</v>
      </c>
      <c r="N62" s="41">
        <f t="shared" si="37"/>
        <v>0</v>
      </c>
      <c r="O62" s="36">
        <f t="shared" si="37"/>
        <v>0</v>
      </c>
      <c r="P62" s="36">
        <f>SUM(D62:O62)</f>
        <v>0</v>
      </c>
    </row>
    <row r="63" spans="1:16" hidden="1" x14ac:dyDescent="0.25">
      <c r="A63" s="7" t="s">
        <v>57</v>
      </c>
      <c r="B63" s="16"/>
      <c r="C63" s="15"/>
      <c r="D63" s="16"/>
      <c r="E63" s="40"/>
      <c r="F63" s="40"/>
      <c r="G63" s="40"/>
      <c r="H63" s="16"/>
      <c r="I63" s="40"/>
      <c r="J63" s="40"/>
      <c r="K63" s="40"/>
      <c r="L63" s="40"/>
      <c r="M63" s="40"/>
      <c r="N63" s="40"/>
      <c r="P63" s="10">
        <f>SUM(D63:O63)</f>
        <v>0</v>
      </c>
    </row>
    <row r="64" spans="1:16" hidden="1" x14ac:dyDescent="0.25">
      <c r="A64" s="7" t="s">
        <v>58</v>
      </c>
      <c r="B64" s="16">
        <v>0</v>
      </c>
      <c r="C64" s="15">
        <v>0</v>
      </c>
      <c r="D64" s="16"/>
      <c r="E64" s="40"/>
      <c r="F64" s="40"/>
      <c r="G64" s="40"/>
      <c r="H64" s="16"/>
      <c r="I64" s="40"/>
      <c r="J64" s="40"/>
      <c r="K64" s="40"/>
      <c r="L64" s="40"/>
      <c r="M64" s="40"/>
      <c r="N64" s="40"/>
      <c r="P64" s="10">
        <f t="shared" ref="P64:P66" si="38">SUM(D64:O64)</f>
        <v>0</v>
      </c>
    </row>
    <row r="65" spans="1:16" ht="30" hidden="1" x14ac:dyDescent="0.25">
      <c r="A65" s="7" t="s">
        <v>59</v>
      </c>
      <c r="B65" s="16">
        <v>0</v>
      </c>
      <c r="C65" s="15">
        <v>0</v>
      </c>
      <c r="D65" s="16"/>
      <c r="E65" s="40"/>
      <c r="F65" s="40"/>
      <c r="G65" s="40"/>
      <c r="H65" s="16"/>
      <c r="I65" s="40"/>
      <c r="J65" s="40"/>
      <c r="K65" s="40"/>
      <c r="L65" s="40"/>
      <c r="M65" s="40"/>
      <c r="N65" s="40"/>
      <c r="P65" s="10">
        <f t="shared" si="38"/>
        <v>0</v>
      </c>
    </row>
    <row r="66" spans="1:16" ht="45" hidden="1" x14ac:dyDescent="0.25">
      <c r="A66" s="7" t="s">
        <v>60</v>
      </c>
      <c r="B66" s="16">
        <v>0</v>
      </c>
      <c r="C66" s="15">
        <v>0</v>
      </c>
      <c r="D66" s="16"/>
      <c r="E66" s="40"/>
      <c r="F66" s="40"/>
      <c r="G66" s="40"/>
      <c r="H66" s="16"/>
      <c r="I66" s="40"/>
      <c r="J66" s="40"/>
      <c r="K66" s="40"/>
      <c r="L66" s="40"/>
      <c r="M66" s="40"/>
      <c r="N66" s="40"/>
      <c r="P66" s="10">
        <f t="shared" si="38"/>
        <v>0</v>
      </c>
    </row>
    <row r="67" spans="1:16" s="27" customFormat="1" ht="30" hidden="1" x14ac:dyDescent="0.25">
      <c r="A67" s="6" t="s">
        <v>61</v>
      </c>
      <c r="B67" s="35">
        <f>SUM(B68:B69)</f>
        <v>0</v>
      </c>
      <c r="C67" s="37">
        <f t="shared" ref="C67:O67" si="39">SUM(C68:C69)</f>
        <v>0</v>
      </c>
      <c r="D67" s="35">
        <f t="shared" si="39"/>
        <v>0</v>
      </c>
      <c r="E67" s="41">
        <f>SUM(E68:E69)</f>
        <v>0</v>
      </c>
      <c r="F67" s="41">
        <f t="shared" si="39"/>
        <v>0</v>
      </c>
      <c r="G67" s="41">
        <f t="shared" si="39"/>
        <v>0</v>
      </c>
      <c r="H67" s="35">
        <f t="shared" si="39"/>
        <v>0</v>
      </c>
      <c r="I67" s="41">
        <f t="shared" si="39"/>
        <v>0</v>
      </c>
      <c r="J67" s="41">
        <f t="shared" si="39"/>
        <v>0</v>
      </c>
      <c r="K67" s="41">
        <f t="shared" si="39"/>
        <v>0</v>
      </c>
      <c r="L67" s="41">
        <f t="shared" si="39"/>
        <v>0</v>
      </c>
      <c r="M67" s="41">
        <f t="shared" si="39"/>
        <v>0</v>
      </c>
      <c r="N67" s="41">
        <f t="shared" si="39"/>
        <v>0</v>
      </c>
      <c r="O67" s="36">
        <f t="shared" si="39"/>
        <v>0</v>
      </c>
      <c r="P67" s="36">
        <f>SUM(D67:O67)</f>
        <v>0</v>
      </c>
    </row>
    <row r="68" spans="1:16" hidden="1" x14ac:dyDescent="0.25">
      <c r="A68" s="7" t="s">
        <v>62</v>
      </c>
      <c r="B68" s="16">
        <v>0</v>
      </c>
      <c r="C68" s="15">
        <v>0</v>
      </c>
      <c r="D68" s="16">
        <v>0</v>
      </c>
      <c r="E68" s="40"/>
      <c r="F68" s="40"/>
      <c r="G68" s="40"/>
      <c r="H68" s="16"/>
      <c r="I68" s="40"/>
      <c r="J68" s="40"/>
      <c r="K68" s="40"/>
      <c r="L68" s="40"/>
      <c r="M68" s="40"/>
      <c r="N68" s="40">
        <f t="shared" ref="N68:N73" si="40">0-D68-E68-F68-G68-H68-I68-J68-K68-L68-M68</f>
        <v>0</v>
      </c>
      <c r="P68" s="10">
        <f>SUM(D68:O68)</f>
        <v>0</v>
      </c>
    </row>
    <row r="69" spans="1:16" ht="30" hidden="1" x14ac:dyDescent="0.25">
      <c r="A69" s="7" t="s">
        <v>63</v>
      </c>
      <c r="B69" s="16">
        <v>0</v>
      </c>
      <c r="C69" s="15"/>
      <c r="D69" s="16">
        <v>0</v>
      </c>
      <c r="E69" s="40"/>
      <c r="F69" s="40"/>
      <c r="G69" s="40"/>
      <c r="H69" s="16"/>
      <c r="I69" s="40"/>
      <c r="J69" s="40"/>
      <c r="K69" s="40"/>
      <c r="L69" s="40"/>
      <c r="M69" s="40"/>
      <c r="N69" s="40">
        <f t="shared" si="40"/>
        <v>0</v>
      </c>
      <c r="P69" s="10">
        <f t="shared" ref="P69:P73" si="41">SUM(D69:O69)</f>
        <v>0</v>
      </c>
    </row>
    <row r="70" spans="1:16" s="27" customFormat="1" hidden="1" x14ac:dyDescent="0.25">
      <c r="A70" s="6" t="s">
        <v>64</v>
      </c>
      <c r="B70" s="13">
        <f>SUM(B71:B73)</f>
        <v>0</v>
      </c>
      <c r="C70" s="14">
        <f t="shared" ref="C70:O70" si="42">SUM(C71:C73)</f>
        <v>0</v>
      </c>
      <c r="D70" s="13">
        <f t="shared" si="42"/>
        <v>0</v>
      </c>
      <c r="E70" s="43">
        <f>SUM(E71:E73)</f>
        <v>0</v>
      </c>
      <c r="F70" s="43">
        <f t="shared" si="42"/>
        <v>0</v>
      </c>
      <c r="G70" s="43">
        <f t="shared" si="42"/>
        <v>0</v>
      </c>
      <c r="H70" s="13">
        <f t="shared" si="42"/>
        <v>0</v>
      </c>
      <c r="I70" s="43">
        <f t="shared" si="42"/>
        <v>0</v>
      </c>
      <c r="J70" s="43">
        <f t="shared" si="42"/>
        <v>0</v>
      </c>
      <c r="K70" s="43">
        <f t="shared" si="42"/>
        <v>0</v>
      </c>
      <c r="L70" s="43">
        <f t="shared" si="42"/>
        <v>0</v>
      </c>
      <c r="M70" s="43">
        <f t="shared" si="42"/>
        <v>0</v>
      </c>
      <c r="N70" s="43">
        <f t="shared" si="40"/>
        <v>0</v>
      </c>
      <c r="O70" s="11">
        <f t="shared" si="42"/>
        <v>0</v>
      </c>
      <c r="P70" s="11">
        <f t="shared" si="41"/>
        <v>0</v>
      </c>
    </row>
    <row r="71" spans="1:16" ht="30" hidden="1" x14ac:dyDescent="0.25">
      <c r="A71" s="7" t="s">
        <v>65</v>
      </c>
      <c r="B71" s="16">
        <v>0</v>
      </c>
      <c r="C71" s="15">
        <v>0</v>
      </c>
      <c r="D71" s="16">
        <v>0</v>
      </c>
      <c r="E71" s="40"/>
      <c r="F71" s="40"/>
      <c r="G71" s="40"/>
      <c r="H71" s="16"/>
      <c r="I71" s="40"/>
      <c r="J71" s="40"/>
      <c r="K71" s="40"/>
      <c r="L71" s="40"/>
      <c r="M71" s="40"/>
      <c r="N71" s="40">
        <f t="shared" si="40"/>
        <v>0</v>
      </c>
      <c r="P71" s="10">
        <f t="shared" si="41"/>
        <v>0</v>
      </c>
    </row>
    <row r="72" spans="1:16" ht="30" hidden="1" x14ac:dyDescent="0.25">
      <c r="A72" s="7" t="s">
        <v>66</v>
      </c>
      <c r="B72" s="16">
        <v>0</v>
      </c>
      <c r="C72" s="15">
        <v>0</v>
      </c>
      <c r="D72" s="16">
        <v>0</v>
      </c>
      <c r="E72" s="40"/>
      <c r="F72" s="40"/>
      <c r="G72" s="40"/>
      <c r="H72" s="16"/>
      <c r="I72" s="40"/>
      <c r="J72" s="40"/>
      <c r="K72" s="40"/>
      <c r="L72" s="40"/>
      <c r="M72" s="40"/>
      <c r="N72" s="40">
        <f t="shared" si="40"/>
        <v>0</v>
      </c>
      <c r="P72" s="10">
        <f t="shared" si="41"/>
        <v>0</v>
      </c>
    </row>
    <row r="73" spans="1:16" ht="30" hidden="1" x14ac:dyDescent="0.25">
      <c r="A73" s="7" t="s">
        <v>67</v>
      </c>
      <c r="B73" s="16">
        <v>0</v>
      </c>
      <c r="C73" s="15">
        <v>0</v>
      </c>
      <c r="D73" s="16">
        <v>0</v>
      </c>
      <c r="E73" s="40"/>
      <c r="F73" s="40"/>
      <c r="G73" s="40"/>
      <c r="H73" s="16"/>
      <c r="I73" s="40"/>
      <c r="J73" s="40"/>
      <c r="K73" s="40"/>
      <c r="L73" s="40"/>
      <c r="M73" s="40"/>
      <c r="N73" s="40">
        <f t="shared" si="40"/>
        <v>0</v>
      </c>
      <c r="P73" s="10">
        <f t="shared" si="41"/>
        <v>0</v>
      </c>
    </row>
    <row r="74" spans="1:16" x14ac:dyDescent="0.25">
      <c r="A74" s="8" t="s">
        <v>35</v>
      </c>
      <c r="B74" s="17">
        <f>SUM(B10,B16,B26,B36,B44,B52,B62,B67,B70)</f>
        <v>354000000</v>
      </c>
      <c r="C74" s="17">
        <f t="shared" ref="C74:O74" si="43">SUM(C10,C16,C26,C36,C44,C52,C62,C67,C70)</f>
        <v>1222560040.5900002</v>
      </c>
      <c r="D74" s="17">
        <f t="shared" si="43"/>
        <v>16491728.039999999</v>
      </c>
      <c r="E74" s="18">
        <f t="shared" si="43"/>
        <v>21064539.199999999</v>
      </c>
      <c r="F74" s="18">
        <f t="shared" si="43"/>
        <v>843906928.86000001</v>
      </c>
      <c r="G74" s="18">
        <f t="shared" si="43"/>
        <v>37114693.260000005</v>
      </c>
      <c r="H74" s="17">
        <f t="shared" si="43"/>
        <v>19860453.930000003</v>
      </c>
      <c r="I74" s="18">
        <f t="shared" si="43"/>
        <v>19488665.119999997</v>
      </c>
      <c r="J74" s="18">
        <f t="shared" si="43"/>
        <v>20529786.449999996</v>
      </c>
      <c r="K74" s="18">
        <f t="shared" si="43"/>
        <v>16794662.850000001</v>
      </c>
      <c r="L74" s="18">
        <f t="shared" si="43"/>
        <v>22012165.750000004</v>
      </c>
      <c r="M74" s="18">
        <f t="shared" si="43"/>
        <v>25061793.040000003</v>
      </c>
      <c r="N74" s="18">
        <f t="shared" si="43"/>
        <v>25191087.09</v>
      </c>
      <c r="O74" s="18">
        <f t="shared" si="43"/>
        <v>0</v>
      </c>
      <c r="P74" s="18">
        <f>SUM(D74:O74)</f>
        <v>1067516503.59</v>
      </c>
    </row>
    <row r="75" spans="1:16" ht="9" customHeight="1" x14ac:dyDescent="0.25">
      <c r="A75" s="9"/>
      <c r="B75" s="16"/>
      <c r="C75" s="15"/>
      <c r="D75" s="16"/>
      <c r="E75" s="40"/>
      <c r="F75" s="40"/>
      <c r="G75" s="40"/>
      <c r="H75" s="16"/>
      <c r="I75" s="40"/>
      <c r="J75" s="40"/>
      <c r="K75" s="40"/>
      <c r="L75" s="40"/>
      <c r="M75" s="40"/>
      <c r="N75" s="40"/>
    </row>
    <row r="76" spans="1:16" ht="19.5" hidden="1" customHeight="1" x14ac:dyDescent="0.25">
      <c r="A76" s="5" t="s">
        <v>68</v>
      </c>
      <c r="B76" s="12">
        <f>SUM(B77,B80,B83)</f>
        <v>0</v>
      </c>
      <c r="C76" s="12">
        <f t="shared" ref="C76:O76" si="44">SUM(C77,C80,C83)</f>
        <v>0</v>
      </c>
      <c r="D76" s="12">
        <f t="shared" si="44"/>
        <v>0</v>
      </c>
      <c r="E76" s="19">
        <f t="shared" si="44"/>
        <v>0</v>
      </c>
      <c r="F76" s="19">
        <f t="shared" si="44"/>
        <v>0</v>
      </c>
      <c r="G76" s="19">
        <f t="shared" si="44"/>
        <v>0</v>
      </c>
      <c r="H76" s="12">
        <f t="shared" si="44"/>
        <v>0</v>
      </c>
      <c r="I76" s="19">
        <f t="shared" si="44"/>
        <v>0</v>
      </c>
      <c r="J76" s="19">
        <f t="shared" si="44"/>
        <v>0</v>
      </c>
      <c r="K76" s="19">
        <f t="shared" si="44"/>
        <v>0</v>
      </c>
      <c r="L76" s="19">
        <f t="shared" si="44"/>
        <v>0</v>
      </c>
      <c r="M76" s="19">
        <f t="shared" si="44"/>
        <v>0</v>
      </c>
      <c r="N76" s="19">
        <f t="shared" si="44"/>
        <v>0</v>
      </c>
      <c r="O76" s="19">
        <f t="shared" si="44"/>
        <v>0</v>
      </c>
      <c r="P76" s="19">
        <f>SUM(D76:O76)</f>
        <v>0</v>
      </c>
    </row>
    <row r="77" spans="1:16" ht="30" hidden="1" x14ac:dyDescent="0.25">
      <c r="A77" s="6" t="s">
        <v>69</v>
      </c>
      <c r="B77" s="13">
        <f>SUM(B78:B79)</f>
        <v>0</v>
      </c>
      <c r="C77" s="15">
        <f t="shared" ref="C77:O77" si="45">SUM(C78:C79)</f>
        <v>0</v>
      </c>
      <c r="D77" s="13">
        <f t="shared" si="45"/>
        <v>0</v>
      </c>
      <c r="E77" s="10">
        <f t="shared" si="45"/>
        <v>0</v>
      </c>
      <c r="F77" s="10">
        <f t="shared" si="45"/>
        <v>0</v>
      </c>
      <c r="G77" s="10">
        <f t="shared" si="45"/>
        <v>0</v>
      </c>
      <c r="H77" s="13">
        <f t="shared" si="45"/>
        <v>0</v>
      </c>
      <c r="I77" s="10">
        <f t="shared" si="45"/>
        <v>0</v>
      </c>
      <c r="J77" s="10">
        <f t="shared" si="45"/>
        <v>0</v>
      </c>
      <c r="K77" s="10">
        <f t="shared" si="45"/>
        <v>0</v>
      </c>
      <c r="L77" s="10">
        <f t="shared" si="45"/>
        <v>0</v>
      </c>
      <c r="M77" s="10">
        <f t="shared" si="45"/>
        <v>0</v>
      </c>
      <c r="N77" s="10">
        <f t="shared" si="45"/>
        <v>0</v>
      </c>
      <c r="O77" s="10">
        <f t="shared" si="45"/>
        <v>0</v>
      </c>
      <c r="P77" s="11">
        <f>SUM(D77:O77)</f>
        <v>0</v>
      </c>
    </row>
    <row r="78" spans="1:16" ht="30" hidden="1" x14ac:dyDescent="0.25">
      <c r="A78" s="7" t="s">
        <v>70</v>
      </c>
      <c r="B78" s="13">
        <v>0</v>
      </c>
      <c r="C78" s="15">
        <v>0</v>
      </c>
      <c r="D78" s="16">
        <v>0</v>
      </c>
      <c r="E78" s="10">
        <v>0</v>
      </c>
      <c r="F78" s="10">
        <v>0</v>
      </c>
      <c r="G78" s="10">
        <v>0</v>
      </c>
      <c r="H78" s="16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f>SUM(D78:O78)</f>
        <v>0</v>
      </c>
    </row>
    <row r="79" spans="1:16" ht="30" hidden="1" x14ac:dyDescent="0.25">
      <c r="A79" s="7" t="s">
        <v>71</v>
      </c>
      <c r="B79" s="16"/>
      <c r="C79" s="15"/>
      <c r="D79" s="16"/>
      <c r="H79" s="16"/>
      <c r="P79" s="10">
        <f t="shared" ref="P79:P82" si="46">SUM(D79:O79)</f>
        <v>0</v>
      </c>
    </row>
    <row r="80" spans="1:16" hidden="1" x14ac:dyDescent="0.25">
      <c r="A80" s="6" t="s">
        <v>72</v>
      </c>
      <c r="B80" s="13">
        <f>SUM(B81:B82)</f>
        <v>0</v>
      </c>
      <c r="C80" s="15">
        <f t="shared" ref="C80:O80" si="47">SUM(C81:C82)</f>
        <v>0</v>
      </c>
      <c r="D80" s="13">
        <f t="shared" si="47"/>
        <v>0</v>
      </c>
      <c r="E80" s="10">
        <f t="shared" si="47"/>
        <v>0</v>
      </c>
      <c r="F80" s="10">
        <f t="shared" si="47"/>
        <v>0</v>
      </c>
      <c r="G80" s="10">
        <f t="shared" si="47"/>
        <v>0</v>
      </c>
      <c r="H80" s="13">
        <f t="shared" si="47"/>
        <v>0</v>
      </c>
      <c r="I80" s="10">
        <f t="shared" si="47"/>
        <v>0</v>
      </c>
      <c r="J80" s="10">
        <f t="shared" si="47"/>
        <v>0</v>
      </c>
      <c r="K80" s="10">
        <f t="shared" si="47"/>
        <v>0</v>
      </c>
      <c r="L80" s="10">
        <f t="shared" si="47"/>
        <v>0</v>
      </c>
      <c r="M80" s="10">
        <f t="shared" si="47"/>
        <v>0</v>
      </c>
      <c r="N80" s="10">
        <f t="shared" si="47"/>
        <v>0</v>
      </c>
      <c r="O80" s="10">
        <f t="shared" si="47"/>
        <v>0</v>
      </c>
      <c r="P80" s="10">
        <f t="shared" si="46"/>
        <v>0</v>
      </c>
    </row>
    <row r="81" spans="1:16" ht="30" hidden="1" x14ac:dyDescent="0.25">
      <c r="A81" s="7" t="s">
        <v>73</v>
      </c>
      <c r="B81" s="16"/>
      <c r="C81" s="15"/>
      <c r="D81" s="16"/>
      <c r="H81" s="16"/>
      <c r="P81" s="10">
        <f t="shared" si="46"/>
        <v>0</v>
      </c>
    </row>
    <row r="82" spans="1:16" ht="30" hidden="1" x14ac:dyDescent="0.25">
      <c r="A82" s="7" t="s">
        <v>74</v>
      </c>
      <c r="B82" s="16"/>
      <c r="C82" s="15"/>
      <c r="D82" s="16"/>
      <c r="H82" s="16"/>
      <c r="P82" s="10">
        <f t="shared" si="46"/>
        <v>0</v>
      </c>
    </row>
    <row r="83" spans="1:16" ht="30" hidden="1" x14ac:dyDescent="0.25">
      <c r="A83" s="6" t="s">
        <v>75</v>
      </c>
      <c r="B83" s="13">
        <f>SUM(B84)</f>
        <v>0</v>
      </c>
      <c r="C83" s="15">
        <f t="shared" ref="C83:O83" si="48">SUM(C84)</f>
        <v>0</v>
      </c>
      <c r="D83" s="13">
        <f t="shared" si="48"/>
        <v>0</v>
      </c>
      <c r="E83" s="10">
        <f t="shared" si="48"/>
        <v>0</v>
      </c>
      <c r="F83" s="10">
        <f t="shared" si="48"/>
        <v>0</v>
      </c>
      <c r="G83" s="10">
        <f t="shared" si="48"/>
        <v>0</v>
      </c>
      <c r="H83" s="13">
        <f t="shared" si="48"/>
        <v>0</v>
      </c>
      <c r="I83" s="10">
        <f t="shared" si="48"/>
        <v>0</v>
      </c>
      <c r="J83" s="10">
        <f t="shared" si="48"/>
        <v>0</v>
      </c>
      <c r="K83" s="10">
        <f t="shared" si="48"/>
        <v>0</v>
      </c>
      <c r="L83" s="10">
        <f t="shared" si="48"/>
        <v>0</v>
      </c>
      <c r="M83" s="10">
        <f t="shared" si="48"/>
        <v>0</v>
      </c>
      <c r="N83" s="10">
        <f t="shared" si="48"/>
        <v>0</v>
      </c>
      <c r="O83" s="10">
        <f t="shared" si="48"/>
        <v>0</v>
      </c>
      <c r="P83" s="11">
        <f>SUM(D83:O83)</f>
        <v>0</v>
      </c>
    </row>
    <row r="84" spans="1:16" ht="30" hidden="1" x14ac:dyDescent="0.25">
      <c r="A84" s="7" t="s">
        <v>76</v>
      </c>
      <c r="B84" s="16"/>
      <c r="C84" s="15"/>
      <c r="D84" s="16"/>
      <c r="H84" s="16"/>
      <c r="P84" s="10">
        <f>SUM(D84:O84)</f>
        <v>0</v>
      </c>
    </row>
    <row r="85" spans="1:16" hidden="1" x14ac:dyDescent="0.25">
      <c r="A85" s="8" t="s">
        <v>77</v>
      </c>
      <c r="B85" s="17">
        <f>SUM(B77,B80,B83)</f>
        <v>0</v>
      </c>
      <c r="C85" s="17">
        <f t="shared" ref="C85:O85" si="49">SUM(C77,C80,C83)</f>
        <v>0</v>
      </c>
      <c r="D85" s="17">
        <f t="shared" si="49"/>
        <v>0</v>
      </c>
      <c r="E85" s="18">
        <f t="shared" si="49"/>
        <v>0</v>
      </c>
      <c r="F85" s="18">
        <f t="shared" si="49"/>
        <v>0</v>
      </c>
      <c r="G85" s="18">
        <f t="shared" si="49"/>
        <v>0</v>
      </c>
      <c r="H85" s="17">
        <f t="shared" si="49"/>
        <v>0</v>
      </c>
      <c r="I85" s="18">
        <f t="shared" si="49"/>
        <v>0</v>
      </c>
      <c r="J85" s="18">
        <f t="shared" si="49"/>
        <v>0</v>
      </c>
      <c r="K85" s="18">
        <f t="shared" si="49"/>
        <v>0</v>
      </c>
      <c r="L85" s="18">
        <f t="shared" si="49"/>
        <v>0</v>
      </c>
      <c r="M85" s="18">
        <f t="shared" si="49"/>
        <v>0</v>
      </c>
      <c r="N85" s="18">
        <f t="shared" si="49"/>
        <v>0</v>
      </c>
      <c r="O85" s="18">
        <f t="shared" si="49"/>
        <v>0</v>
      </c>
      <c r="P85" s="18">
        <f>SUM(D85:O85)</f>
        <v>0</v>
      </c>
    </row>
    <row r="86" spans="1:16" ht="30" customHeight="1" thickBot="1" x14ac:dyDescent="0.3">
      <c r="A86" s="31" t="s">
        <v>78</v>
      </c>
      <c r="B86" s="32">
        <f>SUM(B85)+B74</f>
        <v>354000000</v>
      </c>
      <c r="C86" s="32">
        <f t="shared" ref="C86:D86" si="50">SUM(C85)+C74</f>
        <v>1222560040.5900002</v>
      </c>
      <c r="D86" s="32">
        <f t="shared" si="50"/>
        <v>16491728.039999999</v>
      </c>
      <c r="E86" s="32">
        <f t="shared" ref="E86:O86" si="51">SUM(E85)+E74</f>
        <v>21064539.199999999</v>
      </c>
      <c r="F86" s="32">
        <f t="shared" si="51"/>
        <v>843906928.86000001</v>
      </c>
      <c r="G86" s="32">
        <f t="shared" si="51"/>
        <v>37114693.260000005</v>
      </c>
      <c r="H86" s="32">
        <f t="shared" si="51"/>
        <v>19860453.930000003</v>
      </c>
      <c r="I86" s="32">
        <f t="shared" si="51"/>
        <v>19488665.119999997</v>
      </c>
      <c r="J86" s="32">
        <f t="shared" si="51"/>
        <v>20529786.449999996</v>
      </c>
      <c r="K86" s="32">
        <f t="shared" si="51"/>
        <v>16794662.850000001</v>
      </c>
      <c r="L86" s="32">
        <f t="shared" si="51"/>
        <v>22012165.750000004</v>
      </c>
      <c r="M86" s="32">
        <f t="shared" si="51"/>
        <v>25061793.040000003</v>
      </c>
      <c r="N86" s="32">
        <f t="shared" si="51"/>
        <v>25191087.09</v>
      </c>
      <c r="O86" s="32">
        <f t="shared" si="51"/>
        <v>0</v>
      </c>
      <c r="P86" s="32">
        <f>SUM(D86:O86)</f>
        <v>1067516503.59</v>
      </c>
    </row>
    <row r="87" spans="1:16" x14ac:dyDescent="0.25">
      <c r="A87" t="s">
        <v>99</v>
      </c>
    </row>
    <row r="91" spans="1:16" x14ac:dyDescent="0.25">
      <c r="B91" s="20" t="s">
        <v>103</v>
      </c>
      <c r="F91" s="30" t="s">
        <v>101</v>
      </c>
      <c r="J91" s="10" t="s">
        <v>97</v>
      </c>
    </row>
    <row r="92" spans="1:16" x14ac:dyDescent="0.25">
      <c r="B92" s="20" t="s">
        <v>100</v>
      </c>
      <c r="F92" s="30" t="s">
        <v>102</v>
      </c>
      <c r="J92" s="10" t="s">
        <v>98</v>
      </c>
    </row>
  </sheetData>
  <mergeCells count="9">
    <mergeCell ref="A1:O1"/>
    <mergeCell ref="A7:A8"/>
    <mergeCell ref="B7:B8"/>
    <mergeCell ref="C7:C8"/>
    <mergeCell ref="D7:P7"/>
    <mergeCell ref="A2:P2"/>
    <mergeCell ref="A3:P3"/>
    <mergeCell ref="A4:P4"/>
    <mergeCell ref="A5:P5"/>
  </mergeCells>
  <printOptions horizontalCentered="1"/>
  <pageMargins left="0.11811023622047245" right="0.11811023622047245" top="0.35433070866141736" bottom="0.35433070866141736" header="0" footer="0"/>
  <pageSetup paperSize="9" orientation="landscape" r:id="rId1"/>
  <ignoredErrors>
    <ignoredError sqref="P41:P61 P37:P39 P16:P35 P62:P85 P14 P12:P13 P11 P15" formulaRange="1"/>
    <ignoredError sqref="M26:N26 N62 N36 N52 N16 N67 E18 E28 E33 F16:G16 F60 N44 G28 G33:I33 H60:K60 H57:N57 K32 M32:N32 M60 N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noviembre 2024</vt:lpstr>
      <vt:lpstr>'Ejecución noviembre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Laura De Luna</cp:lastModifiedBy>
  <cp:lastPrinted>2024-12-03T20:09:40Z</cp:lastPrinted>
  <dcterms:created xsi:type="dcterms:W3CDTF">2018-04-17T18:57:16Z</dcterms:created>
  <dcterms:modified xsi:type="dcterms:W3CDTF">2024-12-04T18:15:06Z</dcterms:modified>
</cp:coreProperties>
</file>