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4/"/>
    </mc:Choice>
  </mc:AlternateContent>
  <xr:revisionPtr revIDLastSave="1" documentId="8_{2834CDA1-BC19-42DF-8B9F-29704F474E6F}" xr6:coauthVersionLast="47" xr6:coauthVersionMax="47" xr10:uidLastSave="{51AA4135-A650-45BA-9E0E-80670E1201AC}"/>
  <bookViews>
    <workbookView xWindow="-120" yWindow="-120" windowWidth="29040" windowHeight="15840" firstSheet="9" activeTab="11" xr2:uid="{5D4884E5-1B72-4CCA-935E-C55DD9D189C1}"/>
  </bookViews>
  <sheets>
    <sheet name="NOMINA  FIJOS ENERO  2024" sheetId="1" r:id="rId1"/>
    <sheet name="NOMINA TEMPORALES ENERO 2043" sheetId="2" r:id="rId2"/>
    <sheet name="NOMINA  FIJOS FEBRERO  2024 " sheetId="7" r:id="rId3"/>
    <sheet name="NOMINA TEMPORALES FEB. 2024" sheetId="4" r:id="rId4"/>
    <sheet name="NOMINA  FIJOS MARZO  2024" sheetId="5" r:id="rId5"/>
    <sheet name="NOMINA TEMPORALES MARZO 2024" sheetId="8" r:id="rId6"/>
    <sheet name="NOMINA  FIJOS ABRIL  2024 " sheetId="9" r:id="rId7"/>
    <sheet name="NOMINA TEMPORALES ABRIL 2024" sheetId="10" r:id="rId8"/>
    <sheet name="NOMINA  FIJOS MAYO  2024 " sheetId="11" r:id="rId9"/>
    <sheet name="NOMINA TEMPORALES MAYO 2024" sheetId="12" r:id="rId10"/>
    <sheet name="NOMINA  FIJOS JUNIO 2024  " sheetId="14" r:id="rId11"/>
    <sheet name="NOMINA TEMPORALES JUNIO 2024 " sheetId="13" r:id="rId12"/>
  </sheets>
  <definedNames>
    <definedName name="_xlnm._FilterDatabase" localSheetId="6" hidden="1">'NOMINA  FIJOS ABRIL  2024 '!$A$12:$Q$12</definedName>
    <definedName name="_xlnm._FilterDatabase" localSheetId="0" hidden="1">'NOMINA  FIJOS ENERO  2024'!$A$12:$Q$12</definedName>
    <definedName name="_xlnm._FilterDatabase" localSheetId="2" hidden="1">'NOMINA  FIJOS FEBRERO  2024 '!$A$12:$Q$12</definedName>
    <definedName name="_xlnm._FilterDatabase" localSheetId="10" hidden="1">'NOMINA  FIJOS JUNIO 2024  '!$A$12:$Q$12</definedName>
    <definedName name="_xlnm._FilterDatabase" localSheetId="4" hidden="1">'NOMINA  FIJOS MARZO  2024'!$A$12:$Q$12</definedName>
    <definedName name="_xlnm._FilterDatabase" localSheetId="8" hidden="1">'NOMINA  FIJOS MAYO  2024 '!$A$12:$Q$12</definedName>
    <definedName name="_xlnm._FilterDatabase" localSheetId="7" hidden="1">'NOMINA TEMPORALES ABRIL 2024'!$A$10:$S$109</definedName>
    <definedName name="_xlnm._FilterDatabase" localSheetId="1" hidden="1">'NOMINA TEMPORALES ENERO 2043'!$A$10:$S$106</definedName>
    <definedName name="_xlnm._FilterDatabase" localSheetId="3" hidden="1">'NOMINA TEMPORALES FEB. 2024'!$A$10:$S$106</definedName>
    <definedName name="_xlnm._FilterDatabase" localSheetId="11" hidden="1">'NOMINA TEMPORALES JUNIO 2024 '!$A$10:$S$109</definedName>
    <definedName name="_xlnm._FilterDatabase" localSheetId="5" hidden="1">'NOMINA TEMPORALES MARZO 2024'!$A$10:$S$109</definedName>
    <definedName name="_xlnm._FilterDatabase" localSheetId="9" hidden="1">'NOMINA TEMPORALES MAYO 2024'!$A$10:$S$110</definedName>
    <definedName name="_xlnm.Print_Area" localSheetId="6">'NOMINA  FIJOS ABRIL  2024 '!$A$1:$Q$64</definedName>
    <definedName name="_xlnm.Print_Area" localSheetId="0">'NOMINA  FIJOS ENERO  2024'!$A$1:$Q$63</definedName>
    <definedName name="_xlnm.Print_Area" localSheetId="2">'NOMINA  FIJOS FEBRERO  2024 '!$A$1:$Q$64</definedName>
    <definedName name="_xlnm.Print_Area" localSheetId="10">'NOMINA  FIJOS JUNIO 2024  '!$A$1:$Q$64</definedName>
    <definedName name="_xlnm.Print_Area" localSheetId="4">'NOMINA  FIJOS MARZO  2024'!$A$1:$Q$64</definedName>
    <definedName name="_xlnm.Print_Area" localSheetId="8">'NOMINA  FIJOS MAYO  2024 '!$A$1:$Q$64</definedName>
    <definedName name="_xlnm.Print_Area" localSheetId="7">'NOMINA TEMPORALES ABRIL 2024'!$A$1:$S$119</definedName>
    <definedName name="_xlnm.Print_Area" localSheetId="1">'NOMINA TEMPORALES ENERO 2043'!$A$1:$S$116</definedName>
    <definedName name="_xlnm.Print_Area" localSheetId="3">'NOMINA TEMPORALES FEB. 2024'!$A$1:$S$116</definedName>
    <definedName name="_xlnm.Print_Area" localSheetId="11">'NOMINA TEMPORALES JUNIO 2024 '!$A$1:$S$119</definedName>
    <definedName name="_xlnm.Print_Area" localSheetId="5">'NOMINA TEMPORALES MARZO 2024'!$A$1:$S$119</definedName>
    <definedName name="_xlnm.Print_Area" localSheetId="9">'NOMINA TEMPORALES MAYO 2024'!$A$1:$S$120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3" l="1"/>
  <c r="J32" i="13"/>
  <c r="K32" i="13"/>
  <c r="L32" i="13"/>
  <c r="M32" i="13"/>
  <c r="N32" i="13"/>
  <c r="O32" i="13"/>
  <c r="P32" i="13"/>
  <c r="Q32" i="13"/>
  <c r="R32" i="13"/>
  <c r="S32" i="13"/>
  <c r="H32" i="13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N49" i="14"/>
  <c r="N52" i="14" s="1"/>
  <c r="M49" i="14"/>
  <c r="M52" i="14" s="1"/>
  <c r="L49" i="14"/>
  <c r="K49" i="14"/>
  <c r="G49" i="14"/>
  <c r="G52" i="14" s="1"/>
  <c r="J48" i="14"/>
  <c r="I48" i="14"/>
  <c r="H48" i="14"/>
  <c r="P48" i="14" s="1"/>
  <c r="I47" i="14"/>
  <c r="H47" i="14"/>
  <c r="P47" i="14" s="1"/>
  <c r="O46" i="14"/>
  <c r="P46" i="14" s="1"/>
  <c r="I46" i="14"/>
  <c r="H46" i="14"/>
  <c r="J46" i="14" s="1"/>
  <c r="J45" i="14"/>
  <c r="I45" i="14"/>
  <c r="H45" i="14"/>
  <c r="P45" i="14" s="1"/>
  <c r="I44" i="14"/>
  <c r="P44" i="14" s="1"/>
  <c r="H44" i="14"/>
  <c r="J44" i="14" s="1"/>
  <c r="P43" i="14"/>
  <c r="J43" i="14"/>
  <c r="I43" i="14"/>
  <c r="H43" i="14"/>
  <c r="P42" i="14"/>
  <c r="O42" i="14"/>
  <c r="J42" i="14"/>
  <c r="I42" i="14"/>
  <c r="H42" i="14"/>
  <c r="I41" i="14"/>
  <c r="P41" i="14" s="1"/>
  <c r="H41" i="14"/>
  <c r="P40" i="14"/>
  <c r="J40" i="14"/>
  <c r="I40" i="14"/>
  <c r="H40" i="14"/>
  <c r="P39" i="14"/>
  <c r="O39" i="14"/>
  <c r="J39" i="14"/>
  <c r="I39" i="14"/>
  <c r="H39" i="14"/>
  <c r="I38" i="14"/>
  <c r="J38" i="14" s="1"/>
  <c r="H38" i="14"/>
  <c r="P37" i="14"/>
  <c r="J37" i="14"/>
  <c r="I37" i="14"/>
  <c r="H37" i="14"/>
  <c r="P36" i="14"/>
  <c r="O36" i="14"/>
  <c r="J36" i="14"/>
  <c r="I36" i="14"/>
  <c r="H36" i="14"/>
  <c r="I35" i="14"/>
  <c r="P35" i="14" s="1"/>
  <c r="H35" i="14"/>
  <c r="P34" i="14"/>
  <c r="J34" i="14"/>
  <c r="I34" i="14"/>
  <c r="H34" i="14"/>
  <c r="P33" i="14"/>
  <c r="I33" i="14"/>
  <c r="H33" i="14"/>
  <c r="J33" i="14" s="1"/>
  <c r="I32" i="14"/>
  <c r="H32" i="14"/>
  <c r="P32" i="14" s="1"/>
  <c r="P31" i="14"/>
  <c r="J31" i="14"/>
  <c r="I31" i="14"/>
  <c r="H31" i="14"/>
  <c r="J30" i="14"/>
  <c r="I30" i="14"/>
  <c r="H30" i="14"/>
  <c r="P30" i="14" s="1"/>
  <c r="I29" i="14"/>
  <c r="H29" i="14"/>
  <c r="P29" i="14" s="1"/>
  <c r="O28" i="14"/>
  <c r="J28" i="14"/>
  <c r="I28" i="14"/>
  <c r="H28" i="14"/>
  <c r="P28" i="14" s="1"/>
  <c r="O27" i="14"/>
  <c r="I27" i="14"/>
  <c r="P27" i="14" s="1"/>
  <c r="H27" i="14"/>
  <c r="J27" i="14" s="1"/>
  <c r="I26" i="14"/>
  <c r="H26" i="14"/>
  <c r="P26" i="14" s="1"/>
  <c r="P25" i="14"/>
  <c r="J25" i="14"/>
  <c r="I25" i="14"/>
  <c r="H25" i="14"/>
  <c r="O24" i="14"/>
  <c r="O49" i="14" s="1"/>
  <c r="O52" i="14" s="1"/>
  <c r="I24" i="14"/>
  <c r="P24" i="14" s="1"/>
  <c r="H24" i="14"/>
  <c r="H49" i="14" s="1"/>
  <c r="O21" i="14"/>
  <c r="N21" i="14"/>
  <c r="M21" i="14"/>
  <c r="L21" i="14"/>
  <c r="K21" i="14"/>
  <c r="K52" i="14" s="1"/>
  <c r="G21" i="14"/>
  <c r="P20" i="14"/>
  <c r="Q20" i="14" s="1"/>
  <c r="I20" i="14"/>
  <c r="H20" i="14"/>
  <c r="J20" i="14" s="1"/>
  <c r="I19" i="14"/>
  <c r="H19" i="14"/>
  <c r="P19" i="14" s="1"/>
  <c r="Q19" i="14" s="1"/>
  <c r="P18" i="14"/>
  <c r="Q18" i="14" s="1"/>
  <c r="J18" i="14"/>
  <c r="I18" i="14"/>
  <c r="H18" i="14"/>
  <c r="J17" i="14"/>
  <c r="I17" i="14"/>
  <c r="H17" i="14"/>
  <c r="P17" i="14" s="1"/>
  <c r="Q17" i="14" s="1"/>
  <c r="I16" i="14"/>
  <c r="H16" i="14"/>
  <c r="P16" i="14" s="1"/>
  <c r="Q16" i="14" s="1"/>
  <c r="J15" i="14"/>
  <c r="I15" i="14"/>
  <c r="H15" i="14"/>
  <c r="P15" i="14" s="1"/>
  <c r="Q15" i="14" s="1"/>
  <c r="I14" i="14"/>
  <c r="I21" i="14" s="1"/>
  <c r="H14" i="14"/>
  <c r="H21" i="14" s="1"/>
  <c r="Q109" i="13"/>
  <c r="P109" i="13"/>
  <c r="O109" i="13"/>
  <c r="N109" i="13"/>
  <c r="M109" i="13"/>
  <c r="L109" i="13"/>
  <c r="H109" i="13"/>
  <c r="J108" i="13"/>
  <c r="I108" i="13"/>
  <c r="J107" i="13"/>
  <c r="R107" i="13" s="1"/>
  <c r="S107" i="13" s="1"/>
  <c r="I107" i="13"/>
  <c r="J106" i="13"/>
  <c r="I106" i="13"/>
  <c r="R106" i="13" s="1"/>
  <c r="S106" i="13" s="1"/>
  <c r="J105" i="13"/>
  <c r="I105" i="13"/>
  <c r="R105" i="13" s="1"/>
  <c r="S105" i="13" s="1"/>
  <c r="R104" i="13"/>
  <c r="S104" i="13" s="1"/>
  <c r="J104" i="13"/>
  <c r="I104" i="13"/>
  <c r="J103" i="13"/>
  <c r="I103" i="13"/>
  <c r="R103" i="13" s="1"/>
  <c r="S103" i="13" s="1"/>
  <c r="R102" i="13"/>
  <c r="S102" i="13" s="1"/>
  <c r="J102" i="13"/>
  <c r="I102" i="13"/>
  <c r="K102" i="13" s="1"/>
  <c r="K101" i="13"/>
  <c r="J101" i="13"/>
  <c r="I101" i="13"/>
  <c r="R101" i="13" s="1"/>
  <c r="S101" i="13" s="1"/>
  <c r="J100" i="13"/>
  <c r="I100" i="13"/>
  <c r="R100" i="13" s="1"/>
  <c r="Q98" i="13"/>
  <c r="P98" i="13"/>
  <c r="O98" i="13"/>
  <c r="N98" i="13"/>
  <c r="L98" i="13"/>
  <c r="H98" i="13"/>
  <c r="J97" i="13"/>
  <c r="J98" i="13" s="1"/>
  <c r="I97" i="13"/>
  <c r="Q95" i="13"/>
  <c r="P95" i="13"/>
  <c r="O95" i="13"/>
  <c r="N95" i="13"/>
  <c r="M95" i="13"/>
  <c r="L95" i="13"/>
  <c r="H95" i="13"/>
  <c r="J94" i="13"/>
  <c r="I94" i="13"/>
  <c r="J93" i="13"/>
  <c r="I93" i="13"/>
  <c r="R93" i="13" s="1"/>
  <c r="S93" i="13" s="1"/>
  <c r="J92" i="13"/>
  <c r="I92" i="13"/>
  <c r="R92" i="13" s="1"/>
  <c r="S92" i="13" s="1"/>
  <c r="J91" i="13"/>
  <c r="I91" i="13"/>
  <c r="J90" i="13"/>
  <c r="I90" i="13"/>
  <c r="K90" i="13" s="1"/>
  <c r="J89" i="13"/>
  <c r="I89" i="13"/>
  <c r="R89" i="13" s="1"/>
  <c r="S89" i="13" s="1"/>
  <c r="J88" i="13"/>
  <c r="R88" i="13" s="1"/>
  <c r="S88" i="13" s="1"/>
  <c r="I88" i="13"/>
  <c r="J87" i="13"/>
  <c r="I87" i="13"/>
  <c r="K87" i="13" s="1"/>
  <c r="J86" i="13"/>
  <c r="I86" i="13"/>
  <c r="J85" i="13"/>
  <c r="I85" i="13"/>
  <c r="R85" i="13" s="1"/>
  <c r="S85" i="13" s="1"/>
  <c r="J84" i="13"/>
  <c r="I84" i="13"/>
  <c r="R84" i="13" s="1"/>
  <c r="Q82" i="13"/>
  <c r="P82" i="13"/>
  <c r="O82" i="13"/>
  <c r="N82" i="13"/>
  <c r="M82" i="13"/>
  <c r="L82" i="13"/>
  <c r="H82" i="13"/>
  <c r="R81" i="13"/>
  <c r="S81" i="13" s="1"/>
  <c r="J81" i="13"/>
  <c r="I81" i="13"/>
  <c r="J80" i="13"/>
  <c r="I80" i="13"/>
  <c r="J79" i="13"/>
  <c r="I79" i="13"/>
  <c r="R79" i="13" s="1"/>
  <c r="S79" i="13" s="1"/>
  <c r="J78" i="13"/>
  <c r="I78" i="13"/>
  <c r="R78" i="13" s="1"/>
  <c r="S78" i="13" s="1"/>
  <c r="J77" i="13"/>
  <c r="I77" i="13"/>
  <c r="Q75" i="13"/>
  <c r="P75" i="13"/>
  <c r="O75" i="13"/>
  <c r="M75" i="13"/>
  <c r="L75" i="13"/>
  <c r="H75" i="13"/>
  <c r="J74" i="13"/>
  <c r="I74" i="13"/>
  <c r="R74" i="13" s="1"/>
  <c r="S74" i="13" s="1"/>
  <c r="R73" i="13"/>
  <c r="S73" i="13" s="1"/>
  <c r="J73" i="13"/>
  <c r="I73" i="13"/>
  <c r="K73" i="13" s="1"/>
  <c r="N72" i="13"/>
  <c r="N75" i="13" s="1"/>
  <c r="J72" i="13"/>
  <c r="I72" i="13"/>
  <c r="R72" i="13" s="1"/>
  <c r="S72" i="13" s="1"/>
  <c r="J71" i="13"/>
  <c r="I71" i="13"/>
  <c r="R71" i="13" s="1"/>
  <c r="Q69" i="13"/>
  <c r="P69" i="13"/>
  <c r="O69" i="13"/>
  <c r="N69" i="13"/>
  <c r="M69" i="13"/>
  <c r="L69" i="13"/>
  <c r="H69" i="13"/>
  <c r="J68" i="13"/>
  <c r="J69" i="13" s="1"/>
  <c r="I68" i="13"/>
  <c r="J67" i="13"/>
  <c r="I67" i="13"/>
  <c r="R67" i="13" s="1"/>
  <c r="S67" i="13" s="1"/>
  <c r="Q65" i="13"/>
  <c r="P65" i="13"/>
  <c r="O65" i="13"/>
  <c r="N65" i="13"/>
  <c r="L65" i="13"/>
  <c r="K65" i="13"/>
  <c r="I65" i="13"/>
  <c r="H65" i="13"/>
  <c r="J64" i="13"/>
  <c r="J65" i="13" s="1"/>
  <c r="I64" i="13"/>
  <c r="R64" i="13" s="1"/>
  <c r="Q62" i="13"/>
  <c r="P62" i="13"/>
  <c r="O62" i="13"/>
  <c r="N62" i="13"/>
  <c r="M62" i="13"/>
  <c r="L62" i="13"/>
  <c r="H62" i="13"/>
  <c r="J61" i="13"/>
  <c r="I61" i="13"/>
  <c r="R61" i="13" s="1"/>
  <c r="S61" i="13" s="1"/>
  <c r="R60" i="13"/>
  <c r="S60" i="13" s="1"/>
  <c r="J60" i="13"/>
  <c r="I60" i="13"/>
  <c r="J59" i="13"/>
  <c r="I59" i="13"/>
  <c r="Q57" i="13"/>
  <c r="P57" i="13"/>
  <c r="N57" i="13"/>
  <c r="M57" i="13"/>
  <c r="L57" i="13"/>
  <c r="H57" i="13"/>
  <c r="J56" i="13"/>
  <c r="I56" i="13"/>
  <c r="O55" i="13"/>
  <c r="J55" i="13"/>
  <c r="R55" i="13" s="1"/>
  <c r="S55" i="13" s="1"/>
  <c r="I55" i="13"/>
  <c r="J54" i="13"/>
  <c r="R54" i="13" s="1"/>
  <c r="S54" i="13" s="1"/>
  <c r="I54" i="13"/>
  <c r="O53" i="13"/>
  <c r="J53" i="13"/>
  <c r="I53" i="13"/>
  <c r="R53" i="13" s="1"/>
  <c r="S53" i="13" s="1"/>
  <c r="J52" i="13"/>
  <c r="I52" i="13"/>
  <c r="K52" i="13" s="1"/>
  <c r="O51" i="13"/>
  <c r="J51" i="13"/>
  <c r="I51" i="13"/>
  <c r="K51" i="13" s="1"/>
  <c r="K50" i="13"/>
  <c r="J50" i="13"/>
  <c r="I50" i="13"/>
  <c r="J49" i="13"/>
  <c r="I49" i="13"/>
  <c r="K49" i="13" s="1"/>
  <c r="J48" i="13"/>
  <c r="R48" i="13" s="1"/>
  <c r="S48" i="13" s="1"/>
  <c r="I48" i="13"/>
  <c r="J47" i="13"/>
  <c r="I47" i="13"/>
  <c r="R47" i="13" s="1"/>
  <c r="S47" i="13" s="1"/>
  <c r="J46" i="13"/>
  <c r="I46" i="13"/>
  <c r="K46" i="13" s="1"/>
  <c r="J45" i="13"/>
  <c r="I45" i="13"/>
  <c r="K45" i="13" s="1"/>
  <c r="J44" i="13"/>
  <c r="I44" i="13"/>
  <c r="J43" i="13"/>
  <c r="R43" i="13" s="1"/>
  <c r="S43" i="13" s="1"/>
  <c r="I43" i="13"/>
  <c r="Q41" i="13"/>
  <c r="P41" i="13"/>
  <c r="O41" i="13"/>
  <c r="N41" i="13"/>
  <c r="M41" i="13"/>
  <c r="L41" i="13"/>
  <c r="H41" i="13"/>
  <c r="K40" i="13"/>
  <c r="J40" i="13"/>
  <c r="I40" i="13"/>
  <c r="R40" i="13" s="1"/>
  <c r="S40" i="13" s="1"/>
  <c r="J39" i="13"/>
  <c r="I39" i="13"/>
  <c r="K39" i="13" s="1"/>
  <c r="J38" i="13"/>
  <c r="I38" i="13"/>
  <c r="J37" i="13"/>
  <c r="I37" i="13"/>
  <c r="J36" i="13"/>
  <c r="I36" i="13"/>
  <c r="R36" i="13" s="1"/>
  <c r="S36" i="13" s="1"/>
  <c r="J35" i="13"/>
  <c r="I35" i="13"/>
  <c r="K35" i="13" s="1"/>
  <c r="J34" i="13"/>
  <c r="I34" i="13"/>
  <c r="K34" i="13" s="1"/>
  <c r="J31" i="13"/>
  <c r="I31" i="13"/>
  <c r="K31" i="13" s="1"/>
  <c r="O30" i="13"/>
  <c r="J30" i="13"/>
  <c r="I30" i="13"/>
  <c r="R30" i="13" s="1"/>
  <c r="S30" i="13" s="1"/>
  <c r="O29" i="13"/>
  <c r="J29" i="13"/>
  <c r="I29" i="13"/>
  <c r="K29" i="13" s="1"/>
  <c r="J28" i="13"/>
  <c r="I28" i="13"/>
  <c r="K28" i="13" s="1"/>
  <c r="J27" i="13"/>
  <c r="I27" i="13"/>
  <c r="K27" i="13" s="1"/>
  <c r="R26" i="13"/>
  <c r="S26" i="13" s="1"/>
  <c r="K26" i="13"/>
  <c r="J26" i="13"/>
  <c r="I26" i="13"/>
  <c r="O25" i="13"/>
  <c r="J25" i="13"/>
  <c r="I25" i="13"/>
  <c r="R25" i="13" s="1"/>
  <c r="S25" i="13" s="1"/>
  <c r="J24" i="13"/>
  <c r="I24" i="13"/>
  <c r="Q22" i="13"/>
  <c r="P22" i="13"/>
  <c r="N22" i="13"/>
  <c r="M22" i="13"/>
  <c r="L22" i="13"/>
  <c r="J22" i="13"/>
  <c r="H22" i="13"/>
  <c r="J21" i="13"/>
  <c r="I21" i="13"/>
  <c r="R21" i="13" s="1"/>
  <c r="S21" i="13" s="1"/>
  <c r="O20" i="13"/>
  <c r="J20" i="13"/>
  <c r="I20" i="13"/>
  <c r="I22" i="13" s="1"/>
  <c r="O19" i="13"/>
  <c r="O22" i="13" s="1"/>
  <c r="J19" i="13"/>
  <c r="I19" i="13"/>
  <c r="K19" i="13" s="1"/>
  <c r="Q17" i="13"/>
  <c r="P17" i="13"/>
  <c r="O17" i="13"/>
  <c r="N17" i="13"/>
  <c r="N112" i="13" s="1"/>
  <c r="M17" i="13"/>
  <c r="H17" i="13"/>
  <c r="O16" i="13"/>
  <c r="J16" i="13"/>
  <c r="I16" i="13"/>
  <c r="J15" i="13"/>
  <c r="I15" i="13"/>
  <c r="R15" i="13" s="1"/>
  <c r="S15" i="13" s="1"/>
  <c r="J14" i="13"/>
  <c r="I14" i="13"/>
  <c r="O13" i="13"/>
  <c r="L13" i="13"/>
  <c r="L17" i="13" s="1"/>
  <c r="J13" i="13"/>
  <c r="I13" i="13"/>
  <c r="R13" i="13" s="1"/>
  <c r="R12" i="13"/>
  <c r="S12" i="13" s="1"/>
  <c r="J12" i="13"/>
  <c r="I12" i="13"/>
  <c r="K12" i="13" s="1"/>
  <c r="M83" i="12"/>
  <c r="N83" i="12"/>
  <c r="O83" i="12"/>
  <c r="P83" i="12"/>
  <c r="Q83" i="12"/>
  <c r="R83" i="12"/>
  <c r="S83" i="12"/>
  <c r="O31" i="12"/>
  <c r="R31" i="12" s="1"/>
  <c r="K31" i="12"/>
  <c r="K33" i="12" s="1"/>
  <c r="I31" i="12"/>
  <c r="I33" i="12" s="1"/>
  <c r="J31" i="12"/>
  <c r="J33" i="12"/>
  <c r="L33" i="12"/>
  <c r="M33" i="12"/>
  <c r="N33" i="12"/>
  <c r="O33" i="12"/>
  <c r="P33" i="12"/>
  <c r="Q33" i="12"/>
  <c r="H33" i="12"/>
  <c r="R65" i="13" l="1"/>
  <c r="S64" i="13"/>
  <c r="S65" i="13" s="1"/>
  <c r="R97" i="13"/>
  <c r="K105" i="13"/>
  <c r="I98" i="13"/>
  <c r="R19" i="13"/>
  <c r="R22" i="13" s="1"/>
  <c r="K43" i="13"/>
  <c r="K48" i="13"/>
  <c r="I82" i="13"/>
  <c r="J95" i="13"/>
  <c r="K15" i="13"/>
  <c r="K53" i="13"/>
  <c r="K79" i="13"/>
  <c r="J17" i="13"/>
  <c r="J112" i="13" s="1"/>
  <c r="P112" i="13"/>
  <c r="K25" i="13"/>
  <c r="R29" i="13"/>
  <c r="S29" i="13" s="1"/>
  <c r="R31" i="13"/>
  <c r="S31" i="13" s="1"/>
  <c r="K36" i="13"/>
  <c r="I57" i="13"/>
  <c r="R46" i="13"/>
  <c r="S46" i="13" s="1"/>
  <c r="K61" i="13"/>
  <c r="J75" i="13"/>
  <c r="R77" i="13"/>
  <c r="S77" i="13" s="1"/>
  <c r="S82" i="13" s="1"/>
  <c r="R87" i="13"/>
  <c r="S87" i="13" s="1"/>
  <c r="R16" i="13"/>
  <c r="S16" i="13" s="1"/>
  <c r="Q112" i="13"/>
  <c r="R37" i="13"/>
  <c r="S37" i="13" s="1"/>
  <c r="R49" i="13"/>
  <c r="S49" i="13" s="1"/>
  <c r="O57" i="13"/>
  <c r="R56" i="13"/>
  <c r="S56" i="13" s="1"/>
  <c r="R59" i="13"/>
  <c r="K67" i="13"/>
  <c r="R80" i="13"/>
  <c r="S80" i="13" s="1"/>
  <c r="R90" i="13"/>
  <c r="S90" i="13" s="1"/>
  <c r="K104" i="13"/>
  <c r="K93" i="13"/>
  <c r="J62" i="13"/>
  <c r="K85" i="13"/>
  <c r="K14" i="13"/>
  <c r="R28" i="13"/>
  <c r="S28" i="13" s="1"/>
  <c r="J57" i="13"/>
  <c r="R50" i="13"/>
  <c r="S50" i="13" s="1"/>
  <c r="K54" i="13"/>
  <c r="K60" i="13"/>
  <c r="J82" i="13"/>
  <c r="K81" i="13"/>
  <c r="K88" i="13"/>
  <c r="R91" i="13"/>
  <c r="S91" i="13" s="1"/>
  <c r="R39" i="13"/>
  <c r="S39" i="13" s="1"/>
  <c r="K84" i="13"/>
  <c r="K92" i="13"/>
  <c r="K21" i="13"/>
  <c r="R35" i="13"/>
  <c r="S35" i="13" s="1"/>
  <c r="R45" i="13"/>
  <c r="S45" i="13" s="1"/>
  <c r="R52" i="13"/>
  <c r="S52" i="13" s="1"/>
  <c r="K55" i="13"/>
  <c r="I69" i="13"/>
  <c r="K78" i="13"/>
  <c r="R86" i="13"/>
  <c r="S86" i="13" s="1"/>
  <c r="R94" i="13"/>
  <c r="S94" i="13" s="1"/>
  <c r="R108" i="13"/>
  <c r="S108" i="13" s="1"/>
  <c r="M112" i="13"/>
  <c r="L112" i="13"/>
  <c r="J109" i="13"/>
  <c r="H112" i="13"/>
  <c r="K37" i="13"/>
  <c r="I41" i="13"/>
  <c r="J41" i="13"/>
  <c r="H52" i="14"/>
  <c r="P49" i="14"/>
  <c r="Q24" i="14"/>
  <c r="J24" i="14"/>
  <c r="J47" i="14"/>
  <c r="J35" i="14"/>
  <c r="J41" i="14"/>
  <c r="P14" i="14"/>
  <c r="J19" i="14"/>
  <c r="J26" i="14"/>
  <c r="J32" i="14"/>
  <c r="P38" i="14"/>
  <c r="J16" i="14"/>
  <c r="J29" i="14"/>
  <c r="I49" i="14"/>
  <c r="I52" i="14" s="1"/>
  <c r="J14" i="14"/>
  <c r="S100" i="13"/>
  <c r="S13" i="13"/>
  <c r="S17" i="13" s="1"/>
  <c r="O112" i="13"/>
  <c r="S59" i="13"/>
  <c r="S62" i="13" s="1"/>
  <c r="R62" i="13"/>
  <c r="S71" i="13"/>
  <c r="S75" i="13" s="1"/>
  <c r="R75" i="13"/>
  <c r="S84" i="13"/>
  <c r="S97" i="13"/>
  <c r="S98" i="13" s="1"/>
  <c r="R98" i="13"/>
  <c r="I75" i="13"/>
  <c r="I95" i="13"/>
  <c r="K107" i="13"/>
  <c r="I17" i="13"/>
  <c r="R34" i="13"/>
  <c r="R51" i="13"/>
  <c r="S51" i="13" s="1"/>
  <c r="K72" i="13"/>
  <c r="I109" i="13"/>
  <c r="I62" i="13"/>
  <c r="K47" i="13"/>
  <c r="K56" i="13"/>
  <c r="K89" i="13"/>
  <c r="K106" i="13"/>
  <c r="K16" i="13"/>
  <c r="K20" i="13"/>
  <c r="K22" i="13" s="1"/>
  <c r="R24" i="13"/>
  <c r="R27" i="13"/>
  <c r="S27" i="13" s="1"/>
  <c r="K38" i="13"/>
  <c r="K44" i="13"/>
  <c r="K59" i="13"/>
  <c r="R68" i="13"/>
  <c r="K71" i="13"/>
  <c r="K74" i="13"/>
  <c r="K80" i="13"/>
  <c r="K86" i="13"/>
  <c r="K94" i="13"/>
  <c r="K103" i="13"/>
  <c r="K13" i="13"/>
  <c r="R14" i="13"/>
  <c r="S14" i="13" s="1"/>
  <c r="K24" i="13"/>
  <c r="K30" i="13"/>
  <c r="K68" i="13"/>
  <c r="K69" i="13" s="1"/>
  <c r="R38" i="13"/>
  <c r="S38" i="13" s="1"/>
  <c r="R44" i="13"/>
  <c r="S44" i="13" s="1"/>
  <c r="K77" i="13"/>
  <c r="K91" i="13"/>
  <c r="K97" i="13"/>
  <c r="K98" i="13" s="1"/>
  <c r="K100" i="13"/>
  <c r="K108" i="13"/>
  <c r="R20" i="13"/>
  <c r="S20" i="13" s="1"/>
  <c r="S31" i="12"/>
  <c r="S33" i="12" s="1"/>
  <c r="R33" i="12"/>
  <c r="K109" i="13" l="1"/>
  <c r="K17" i="13"/>
  <c r="S19" i="13"/>
  <c r="S95" i="13"/>
  <c r="K75" i="13"/>
  <c r="R95" i="13"/>
  <c r="K57" i="13"/>
  <c r="I112" i="13"/>
  <c r="R109" i="13"/>
  <c r="K82" i="13"/>
  <c r="S109" i="13"/>
  <c r="K62" i="13"/>
  <c r="S57" i="13"/>
  <c r="K41" i="13"/>
  <c r="K95" i="13"/>
  <c r="R82" i="13"/>
  <c r="J21" i="14"/>
  <c r="P21" i="14"/>
  <c r="P52" i="14" s="1"/>
  <c r="Q14" i="14"/>
  <c r="Q21" i="14" s="1"/>
  <c r="J49" i="14"/>
  <c r="Q49" i="14"/>
  <c r="Q52" i="14" s="1"/>
  <c r="S68" i="13"/>
  <c r="S69" i="13" s="1"/>
  <c r="R69" i="13"/>
  <c r="S22" i="13"/>
  <c r="R17" i="13"/>
  <c r="S24" i="13"/>
  <c r="R57" i="13"/>
  <c r="S34" i="13"/>
  <c r="S41" i="13" s="1"/>
  <c r="R41" i="13"/>
  <c r="Q110" i="12"/>
  <c r="P110" i="12"/>
  <c r="O110" i="12"/>
  <c r="N110" i="12"/>
  <c r="M110" i="12"/>
  <c r="L110" i="12"/>
  <c r="H110" i="12"/>
  <c r="J109" i="12"/>
  <c r="I109" i="12"/>
  <c r="R108" i="12"/>
  <c r="S108" i="12" s="1"/>
  <c r="J108" i="12"/>
  <c r="K108" i="12" s="1"/>
  <c r="I108" i="12"/>
  <c r="J107" i="12"/>
  <c r="I107" i="12"/>
  <c r="J106" i="12"/>
  <c r="I106" i="12"/>
  <c r="R106" i="12" s="1"/>
  <c r="S106" i="12" s="1"/>
  <c r="J105" i="12"/>
  <c r="R105" i="12" s="1"/>
  <c r="S105" i="12" s="1"/>
  <c r="I105" i="12"/>
  <c r="J104" i="12"/>
  <c r="I104" i="12"/>
  <c r="J103" i="12"/>
  <c r="I103" i="12"/>
  <c r="R103" i="12" s="1"/>
  <c r="S103" i="12" s="1"/>
  <c r="J102" i="12"/>
  <c r="I102" i="12"/>
  <c r="J101" i="12"/>
  <c r="I101" i="12"/>
  <c r="R101" i="12" s="1"/>
  <c r="Q99" i="12"/>
  <c r="P99" i="12"/>
  <c r="O99" i="12"/>
  <c r="N99" i="12"/>
  <c r="L99" i="12"/>
  <c r="J99" i="12"/>
  <c r="H99" i="12"/>
  <c r="J98" i="12"/>
  <c r="I98" i="12"/>
  <c r="R98" i="12" s="1"/>
  <c r="Q96" i="12"/>
  <c r="P96" i="12"/>
  <c r="O96" i="12"/>
  <c r="N96" i="12"/>
  <c r="M96" i="12"/>
  <c r="L96" i="12"/>
  <c r="H96" i="12"/>
  <c r="J95" i="12"/>
  <c r="I95" i="12"/>
  <c r="R95" i="12" s="1"/>
  <c r="S95" i="12" s="1"/>
  <c r="R94" i="12"/>
  <c r="S94" i="12" s="1"/>
  <c r="K94" i="12"/>
  <c r="J94" i="12"/>
  <c r="I94" i="12"/>
  <c r="J93" i="12"/>
  <c r="I93" i="12"/>
  <c r="K93" i="12" s="1"/>
  <c r="J92" i="12"/>
  <c r="I92" i="12"/>
  <c r="R92" i="12" s="1"/>
  <c r="S92" i="12" s="1"/>
  <c r="R91" i="12"/>
  <c r="S91" i="12" s="1"/>
  <c r="K91" i="12"/>
  <c r="J91" i="12"/>
  <c r="I91" i="12"/>
  <c r="J90" i="12"/>
  <c r="I90" i="12"/>
  <c r="K90" i="12" s="1"/>
  <c r="J89" i="12"/>
  <c r="I89" i="12"/>
  <c r="R89" i="12" s="1"/>
  <c r="S89" i="12" s="1"/>
  <c r="J88" i="12"/>
  <c r="R88" i="12" s="1"/>
  <c r="S88" i="12" s="1"/>
  <c r="I88" i="12"/>
  <c r="J87" i="12"/>
  <c r="I87" i="12"/>
  <c r="J86" i="12"/>
  <c r="I86" i="12"/>
  <c r="R86" i="12" s="1"/>
  <c r="S86" i="12" s="1"/>
  <c r="J85" i="12"/>
  <c r="J96" i="12" s="1"/>
  <c r="I85" i="12"/>
  <c r="K85" i="12" s="1"/>
  <c r="H83" i="12"/>
  <c r="J82" i="12"/>
  <c r="I82" i="12"/>
  <c r="K82" i="12" s="1"/>
  <c r="J81" i="12"/>
  <c r="I81" i="12"/>
  <c r="R81" i="12" s="1"/>
  <c r="S81" i="12" s="1"/>
  <c r="J80" i="12"/>
  <c r="I80" i="12"/>
  <c r="R80" i="12" s="1"/>
  <c r="S80" i="12" s="1"/>
  <c r="L83" i="12"/>
  <c r="J79" i="12"/>
  <c r="I79" i="12"/>
  <c r="K79" i="12" s="1"/>
  <c r="J78" i="12"/>
  <c r="I78" i="12"/>
  <c r="Q76" i="12"/>
  <c r="P76" i="12"/>
  <c r="O76" i="12"/>
  <c r="M76" i="12"/>
  <c r="L76" i="12"/>
  <c r="H76" i="12"/>
  <c r="J75" i="12"/>
  <c r="I75" i="12"/>
  <c r="R75" i="12" s="1"/>
  <c r="S75" i="12" s="1"/>
  <c r="J74" i="12"/>
  <c r="I74" i="12"/>
  <c r="K74" i="12" s="1"/>
  <c r="N73" i="12"/>
  <c r="N76" i="12" s="1"/>
  <c r="J73" i="12"/>
  <c r="I73" i="12"/>
  <c r="R73" i="12" s="1"/>
  <c r="S73" i="12" s="1"/>
  <c r="J72" i="12"/>
  <c r="I72" i="12"/>
  <c r="R72" i="12" s="1"/>
  <c r="Q70" i="12"/>
  <c r="P70" i="12"/>
  <c r="O70" i="12"/>
  <c r="N70" i="12"/>
  <c r="M70" i="12"/>
  <c r="L70" i="12"/>
  <c r="H70" i="12"/>
  <c r="J69" i="12"/>
  <c r="I69" i="12"/>
  <c r="R69" i="12" s="1"/>
  <c r="S69" i="12" s="1"/>
  <c r="J68" i="12"/>
  <c r="R68" i="12" s="1"/>
  <c r="I68" i="12"/>
  <c r="Q66" i="12"/>
  <c r="P66" i="12"/>
  <c r="O66" i="12"/>
  <c r="N66" i="12"/>
  <c r="L66" i="12"/>
  <c r="K66" i="12"/>
  <c r="J66" i="12"/>
  <c r="H66" i="12"/>
  <c r="J65" i="12"/>
  <c r="I65" i="12"/>
  <c r="R65" i="12" s="1"/>
  <c r="Q63" i="12"/>
  <c r="P63" i="12"/>
  <c r="O63" i="12"/>
  <c r="N63" i="12"/>
  <c r="M63" i="12"/>
  <c r="L63" i="12"/>
  <c r="H63" i="12"/>
  <c r="J62" i="12"/>
  <c r="I62" i="12"/>
  <c r="R62" i="12" s="1"/>
  <c r="S62" i="12" s="1"/>
  <c r="J61" i="12"/>
  <c r="K61" i="12" s="1"/>
  <c r="I61" i="12"/>
  <c r="J60" i="12"/>
  <c r="J63" i="12" s="1"/>
  <c r="I60" i="12"/>
  <c r="R60" i="12" s="1"/>
  <c r="Q58" i="12"/>
  <c r="P58" i="12"/>
  <c r="N58" i="12"/>
  <c r="M58" i="12"/>
  <c r="H58" i="12"/>
  <c r="J57" i="12"/>
  <c r="I57" i="12"/>
  <c r="R57" i="12" s="1"/>
  <c r="S57" i="12" s="1"/>
  <c r="O56" i="12"/>
  <c r="J56" i="12"/>
  <c r="I56" i="12"/>
  <c r="R56" i="12" s="1"/>
  <c r="S56" i="12" s="1"/>
  <c r="J55" i="12"/>
  <c r="I55" i="12"/>
  <c r="K55" i="12" s="1"/>
  <c r="O54" i="12"/>
  <c r="J54" i="12"/>
  <c r="I54" i="12"/>
  <c r="J53" i="12"/>
  <c r="I53" i="12"/>
  <c r="R53" i="12" s="1"/>
  <c r="S53" i="12" s="1"/>
  <c r="O52" i="12"/>
  <c r="O58" i="12" s="1"/>
  <c r="J52" i="12"/>
  <c r="R52" i="12" s="1"/>
  <c r="S52" i="12" s="1"/>
  <c r="I52" i="12"/>
  <c r="L58" i="12"/>
  <c r="J51" i="12"/>
  <c r="I51" i="12"/>
  <c r="R51" i="12" s="1"/>
  <c r="S51" i="12" s="1"/>
  <c r="J50" i="12"/>
  <c r="I50" i="12"/>
  <c r="R50" i="12" s="1"/>
  <c r="S50" i="12" s="1"/>
  <c r="J49" i="12"/>
  <c r="I49" i="12"/>
  <c r="R49" i="12" s="1"/>
  <c r="S49" i="12" s="1"/>
  <c r="J48" i="12"/>
  <c r="I48" i="12"/>
  <c r="J47" i="12"/>
  <c r="I47" i="12"/>
  <c r="R47" i="12" s="1"/>
  <c r="S47" i="12" s="1"/>
  <c r="J46" i="12"/>
  <c r="R46" i="12" s="1"/>
  <c r="S46" i="12" s="1"/>
  <c r="I46" i="12"/>
  <c r="J45" i="12"/>
  <c r="I45" i="12"/>
  <c r="K45" i="12" s="1"/>
  <c r="J44" i="12"/>
  <c r="I44" i="12"/>
  <c r="Q42" i="12"/>
  <c r="P42" i="12"/>
  <c r="O42" i="12"/>
  <c r="N42" i="12"/>
  <c r="M42" i="12"/>
  <c r="L42" i="12"/>
  <c r="H42" i="12"/>
  <c r="J41" i="12"/>
  <c r="I41" i="12"/>
  <c r="R41" i="12" s="1"/>
  <c r="S41" i="12" s="1"/>
  <c r="R40" i="12"/>
  <c r="S40" i="12" s="1"/>
  <c r="J40" i="12"/>
  <c r="I40" i="12"/>
  <c r="K40" i="12" s="1"/>
  <c r="J39" i="12"/>
  <c r="I39" i="12"/>
  <c r="K39" i="12" s="1"/>
  <c r="J38" i="12"/>
  <c r="I38" i="12"/>
  <c r="R38" i="12" s="1"/>
  <c r="S38" i="12" s="1"/>
  <c r="K37" i="12"/>
  <c r="J37" i="12"/>
  <c r="I37" i="12"/>
  <c r="R37" i="12" s="1"/>
  <c r="S37" i="12" s="1"/>
  <c r="J36" i="12"/>
  <c r="I36" i="12"/>
  <c r="K36" i="12" s="1"/>
  <c r="J35" i="12"/>
  <c r="I35" i="12"/>
  <c r="R35" i="12" s="1"/>
  <c r="J32" i="12"/>
  <c r="I32" i="12"/>
  <c r="K32" i="12" s="1"/>
  <c r="O30" i="12"/>
  <c r="J30" i="12"/>
  <c r="I30" i="12"/>
  <c r="K30" i="12" s="1"/>
  <c r="O29" i="12"/>
  <c r="J29" i="12"/>
  <c r="I29" i="12"/>
  <c r="R29" i="12" s="1"/>
  <c r="S29" i="12" s="1"/>
  <c r="J28" i="12"/>
  <c r="I28" i="12"/>
  <c r="R28" i="12" s="1"/>
  <c r="S28" i="12" s="1"/>
  <c r="R27" i="12"/>
  <c r="S27" i="12" s="1"/>
  <c r="J27" i="12"/>
  <c r="I27" i="12"/>
  <c r="K27" i="12" s="1"/>
  <c r="J26" i="12"/>
  <c r="I26" i="12"/>
  <c r="K26" i="12" s="1"/>
  <c r="O25" i="12"/>
  <c r="J25" i="12"/>
  <c r="I25" i="12"/>
  <c r="R25" i="12" s="1"/>
  <c r="S25" i="12" s="1"/>
  <c r="R24" i="12"/>
  <c r="J24" i="12"/>
  <c r="I24" i="12"/>
  <c r="K24" i="12" s="1"/>
  <c r="Q22" i="12"/>
  <c r="P22" i="12"/>
  <c r="N22" i="12"/>
  <c r="M22" i="12"/>
  <c r="L22" i="12"/>
  <c r="H22" i="12"/>
  <c r="J21" i="12"/>
  <c r="I21" i="12"/>
  <c r="R21" i="12" s="1"/>
  <c r="S21" i="12" s="1"/>
  <c r="O20" i="12"/>
  <c r="O22" i="12" s="1"/>
  <c r="J20" i="12"/>
  <c r="I20" i="12"/>
  <c r="R20" i="12" s="1"/>
  <c r="S20" i="12" s="1"/>
  <c r="O19" i="12"/>
  <c r="J19" i="12"/>
  <c r="I19" i="12"/>
  <c r="Q17" i="12"/>
  <c r="P17" i="12"/>
  <c r="N17" i="12"/>
  <c r="M17" i="12"/>
  <c r="H17" i="12"/>
  <c r="H113" i="12" s="1"/>
  <c r="O16" i="12"/>
  <c r="J16" i="12"/>
  <c r="I16" i="12"/>
  <c r="R16" i="12" s="1"/>
  <c r="S16" i="12" s="1"/>
  <c r="J15" i="12"/>
  <c r="I15" i="12"/>
  <c r="K15" i="12" s="1"/>
  <c r="J14" i="12"/>
  <c r="I14" i="12"/>
  <c r="O13" i="12"/>
  <c r="O17" i="12" s="1"/>
  <c r="L13" i="12"/>
  <c r="J13" i="12"/>
  <c r="I13" i="12"/>
  <c r="K13" i="12" s="1"/>
  <c r="J12" i="12"/>
  <c r="I12" i="12"/>
  <c r="K12" i="12" s="1"/>
  <c r="O49" i="11"/>
  <c r="O52" i="11" s="1"/>
  <c r="N49" i="11"/>
  <c r="M49" i="11"/>
  <c r="M52" i="11" s="1"/>
  <c r="L49" i="11"/>
  <c r="K49" i="11"/>
  <c r="K52" i="11" s="1"/>
  <c r="G49" i="11"/>
  <c r="G52" i="11" s="1"/>
  <c r="I48" i="11"/>
  <c r="H48" i="11"/>
  <c r="J48" i="11" s="1"/>
  <c r="J47" i="11"/>
  <c r="I47" i="11"/>
  <c r="H47" i="11"/>
  <c r="P47" i="11" s="1"/>
  <c r="Q47" i="11" s="1"/>
  <c r="O46" i="11"/>
  <c r="P46" i="11" s="1"/>
  <c r="Q46" i="11" s="1"/>
  <c r="I46" i="11"/>
  <c r="H46" i="11"/>
  <c r="J46" i="11" s="1"/>
  <c r="I45" i="11"/>
  <c r="H45" i="11"/>
  <c r="J45" i="11" s="1"/>
  <c r="P44" i="11"/>
  <c r="Q44" i="11" s="1"/>
  <c r="J44" i="11"/>
  <c r="I44" i="11"/>
  <c r="H44" i="11"/>
  <c r="P43" i="11"/>
  <c r="Q43" i="11" s="1"/>
  <c r="J43" i="11"/>
  <c r="I43" i="11"/>
  <c r="H43" i="11"/>
  <c r="O42" i="11"/>
  <c r="I42" i="11"/>
  <c r="H42" i="11"/>
  <c r="P42" i="11" s="1"/>
  <c r="Q42" i="11" s="1"/>
  <c r="Q41" i="11"/>
  <c r="P41" i="11"/>
  <c r="J41" i="11"/>
  <c r="I41" i="11"/>
  <c r="H41" i="11"/>
  <c r="P40" i="11"/>
  <c r="Q40" i="11" s="1"/>
  <c r="J40" i="11"/>
  <c r="I40" i="11"/>
  <c r="H40" i="11"/>
  <c r="O39" i="11"/>
  <c r="I39" i="11"/>
  <c r="H39" i="11"/>
  <c r="P39" i="11" s="1"/>
  <c r="Q39" i="11" s="1"/>
  <c r="Q38" i="11"/>
  <c r="P38" i="11"/>
  <c r="J38" i="11"/>
  <c r="I38" i="11"/>
  <c r="H38" i="11"/>
  <c r="P37" i="11"/>
  <c r="Q37" i="11" s="1"/>
  <c r="J37" i="11"/>
  <c r="I37" i="11"/>
  <c r="H37" i="11"/>
  <c r="O36" i="11"/>
  <c r="I36" i="11"/>
  <c r="H36" i="11"/>
  <c r="P36" i="11" s="1"/>
  <c r="Q36" i="11" s="1"/>
  <c r="Q35" i="11"/>
  <c r="P35" i="11"/>
  <c r="J35" i="11"/>
  <c r="I35" i="11"/>
  <c r="H35" i="11"/>
  <c r="P34" i="11"/>
  <c r="Q34" i="11" s="1"/>
  <c r="J34" i="11"/>
  <c r="I34" i="11"/>
  <c r="H34" i="11"/>
  <c r="I33" i="11"/>
  <c r="H33" i="11"/>
  <c r="P33" i="11" s="1"/>
  <c r="Q33" i="11" s="1"/>
  <c r="I32" i="11"/>
  <c r="P32" i="11" s="1"/>
  <c r="Q32" i="11" s="1"/>
  <c r="H32" i="11"/>
  <c r="I31" i="11"/>
  <c r="J31" i="11" s="1"/>
  <c r="H31" i="11"/>
  <c r="I30" i="11"/>
  <c r="H30" i="11"/>
  <c r="P30" i="11" s="1"/>
  <c r="Q30" i="11" s="1"/>
  <c r="P29" i="11"/>
  <c r="Q29" i="11" s="1"/>
  <c r="I29" i="11"/>
  <c r="H29" i="11"/>
  <c r="J29" i="11" s="1"/>
  <c r="O28" i="11"/>
  <c r="I28" i="11"/>
  <c r="J28" i="11" s="1"/>
  <c r="H28" i="11"/>
  <c r="P28" i="11" s="1"/>
  <c r="Q28" i="11" s="1"/>
  <c r="O27" i="11"/>
  <c r="I27" i="11"/>
  <c r="H27" i="11"/>
  <c r="P27" i="11" s="1"/>
  <c r="Q27" i="11" s="1"/>
  <c r="I26" i="11"/>
  <c r="P26" i="11" s="1"/>
  <c r="Q26" i="11" s="1"/>
  <c r="H26" i="11"/>
  <c r="I25" i="11"/>
  <c r="J25" i="11" s="1"/>
  <c r="H25" i="11"/>
  <c r="O24" i="11"/>
  <c r="I24" i="11"/>
  <c r="I49" i="11" s="1"/>
  <c r="H24" i="11"/>
  <c r="P24" i="11" s="1"/>
  <c r="O21" i="11"/>
  <c r="N21" i="11"/>
  <c r="M21" i="11"/>
  <c r="L21" i="11"/>
  <c r="K21" i="11"/>
  <c r="G21" i="11"/>
  <c r="I20" i="11"/>
  <c r="H20" i="11"/>
  <c r="P20" i="11" s="1"/>
  <c r="Q20" i="11" s="1"/>
  <c r="I19" i="11"/>
  <c r="P19" i="11" s="1"/>
  <c r="Q19" i="11" s="1"/>
  <c r="H19" i="11"/>
  <c r="I18" i="11"/>
  <c r="J18" i="11" s="1"/>
  <c r="H18" i="11"/>
  <c r="I17" i="11"/>
  <c r="H17" i="11"/>
  <c r="P17" i="11" s="1"/>
  <c r="Q17" i="11" s="1"/>
  <c r="P16" i="11"/>
  <c r="Q16" i="11" s="1"/>
  <c r="I16" i="11"/>
  <c r="H16" i="11"/>
  <c r="J16" i="11" s="1"/>
  <c r="I15" i="11"/>
  <c r="H15" i="11"/>
  <c r="P15" i="11" s="1"/>
  <c r="Q15" i="11" s="1"/>
  <c r="J14" i="11"/>
  <c r="I14" i="11"/>
  <c r="H14" i="11"/>
  <c r="H21" i="11" s="1"/>
  <c r="P109" i="10"/>
  <c r="Q109" i="10"/>
  <c r="K112" i="13" l="1"/>
  <c r="S112" i="13"/>
  <c r="J52" i="14"/>
  <c r="R112" i="13"/>
  <c r="J17" i="12"/>
  <c r="R15" i="12"/>
  <c r="S15" i="12" s="1"/>
  <c r="N113" i="12"/>
  <c r="K20" i="12"/>
  <c r="R32" i="12"/>
  <c r="S32" i="12" s="1"/>
  <c r="I58" i="12"/>
  <c r="R55" i="12"/>
  <c r="S55" i="12" s="1"/>
  <c r="R61" i="12"/>
  <c r="S61" i="12" s="1"/>
  <c r="R74" i="12"/>
  <c r="S74" i="12" s="1"/>
  <c r="R107" i="12"/>
  <c r="S107" i="12" s="1"/>
  <c r="K80" i="12"/>
  <c r="K51" i="12"/>
  <c r="J70" i="12"/>
  <c r="I83" i="12"/>
  <c r="K86" i="12"/>
  <c r="K92" i="12"/>
  <c r="R104" i="12"/>
  <c r="S104" i="12" s="1"/>
  <c r="R87" i="12"/>
  <c r="S87" i="12" s="1"/>
  <c r="J42" i="12"/>
  <c r="K38" i="12"/>
  <c r="J58" i="12"/>
  <c r="K103" i="12"/>
  <c r="K44" i="12"/>
  <c r="R13" i="12"/>
  <c r="S13" i="12" s="1"/>
  <c r="K16" i="12"/>
  <c r="I22" i="12"/>
  <c r="R36" i="12"/>
  <c r="S36" i="12" s="1"/>
  <c r="R48" i="12"/>
  <c r="S48" i="12" s="1"/>
  <c r="J83" i="12"/>
  <c r="R90" i="12"/>
  <c r="S90" i="12" s="1"/>
  <c r="K98" i="12"/>
  <c r="K99" i="12" s="1"/>
  <c r="O113" i="12"/>
  <c r="J22" i="12"/>
  <c r="K21" i="12"/>
  <c r="R54" i="12"/>
  <c r="S54" i="12" s="1"/>
  <c r="J76" i="12"/>
  <c r="I76" i="12"/>
  <c r="R14" i="12"/>
  <c r="S14" i="12" s="1"/>
  <c r="K46" i="12"/>
  <c r="K52" i="12"/>
  <c r="I70" i="12"/>
  <c r="K81" i="12"/>
  <c r="I99" i="12"/>
  <c r="K102" i="12"/>
  <c r="R109" i="12"/>
  <c r="S109" i="12" s="1"/>
  <c r="Q113" i="12"/>
  <c r="P113" i="12"/>
  <c r="M113" i="12"/>
  <c r="N52" i="11"/>
  <c r="S65" i="12"/>
  <c r="S66" i="12" s="1"/>
  <c r="R66" i="12"/>
  <c r="S60" i="12"/>
  <c r="S98" i="12"/>
  <c r="S99" i="12" s="1"/>
  <c r="R99" i="12"/>
  <c r="S101" i="12"/>
  <c r="S72" i="12"/>
  <c r="S76" i="12" s="1"/>
  <c r="R76" i="12"/>
  <c r="S68" i="12"/>
  <c r="S70" i="12" s="1"/>
  <c r="R70" i="12"/>
  <c r="S35" i="12"/>
  <c r="L17" i="12"/>
  <c r="L113" i="12" s="1"/>
  <c r="I96" i="12"/>
  <c r="S24" i="12"/>
  <c r="K29" i="12"/>
  <c r="R30" i="12"/>
  <c r="S30" i="12" s="1"/>
  <c r="K48" i="12"/>
  <c r="K54" i="12"/>
  <c r="I63" i="12"/>
  <c r="I66" i="12"/>
  <c r="K73" i="12"/>
  <c r="K88" i="12"/>
  <c r="K105" i="12"/>
  <c r="I110" i="12"/>
  <c r="K57" i="12"/>
  <c r="K69" i="12"/>
  <c r="J110" i="12"/>
  <c r="J113" i="12" s="1"/>
  <c r="R12" i="12"/>
  <c r="R26" i="12"/>
  <c r="S26" i="12" s="1"/>
  <c r="R39" i="12"/>
  <c r="S39" i="12" s="1"/>
  <c r="R45" i="12"/>
  <c r="S45" i="12" s="1"/>
  <c r="K50" i="12"/>
  <c r="K60" i="12"/>
  <c r="R82" i="12"/>
  <c r="S82" i="12" s="1"/>
  <c r="R85" i="12"/>
  <c r="R93" i="12"/>
  <c r="S93" i="12" s="1"/>
  <c r="R102" i="12"/>
  <c r="S102" i="12" s="1"/>
  <c r="K107" i="12"/>
  <c r="R19" i="12"/>
  <c r="K25" i="12"/>
  <c r="K28" i="12"/>
  <c r="K41" i="12"/>
  <c r="K47" i="12"/>
  <c r="K53" i="12"/>
  <c r="K56" i="12"/>
  <c r="K72" i="12"/>
  <c r="K75" i="12"/>
  <c r="R79" i="12"/>
  <c r="S79" i="12" s="1"/>
  <c r="K87" i="12"/>
  <c r="K95" i="12"/>
  <c r="K104" i="12"/>
  <c r="I42" i="12"/>
  <c r="I17" i="12"/>
  <c r="K62" i="12"/>
  <c r="K68" i="12"/>
  <c r="K78" i="12"/>
  <c r="K83" i="12" s="1"/>
  <c r="K101" i="12"/>
  <c r="K109" i="12"/>
  <c r="K19" i="12"/>
  <c r="K22" i="12" s="1"/>
  <c r="K14" i="12"/>
  <c r="K17" i="12" s="1"/>
  <c r="K35" i="12"/>
  <c r="R44" i="12"/>
  <c r="K49" i="12"/>
  <c r="R78" i="12"/>
  <c r="K89" i="12"/>
  <c r="K106" i="12"/>
  <c r="P49" i="11"/>
  <c r="Q24" i="11"/>
  <c r="J24" i="11"/>
  <c r="J27" i="11"/>
  <c r="J33" i="11"/>
  <c r="P45" i="11"/>
  <c r="Q45" i="11" s="1"/>
  <c r="P48" i="11"/>
  <c r="Q48" i="11" s="1"/>
  <c r="J15" i="11"/>
  <c r="J21" i="11" s="1"/>
  <c r="P25" i="11"/>
  <c r="Q25" i="11" s="1"/>
  <c r="P31" i="11"/>
  <c r="Q31" i="11" s="1"/>
  <c r="J36" i="11"/>
  <c r="J39" i="11"/>
  <c r="J42" i="11"/>
  <c r="J20" i="11"/>
  <c r="J17" i="11"/>
  <c r="J30" i="11"/>
  <c r="P18" i="11"/>
  <c r="Q18" i="11" s="1"/>
  <c r="P14" i="11"/>
  <c r="J19" i="11"/>
  <c r="J26" i="11"/>
  <c r="J32" i="11"/>
  <c r="H49" i="11"/>
  <c r="H52" i="11" s="1"/>
  <c r="I21" i="11"/>
  <c r="I52" i="11" s="1"/>
  <c r="S87" i="10"/>
  <c r="K70" i="12" l="1"/>
  <c r="K76" i="12"/>
  <c r="K96" i="12"/>
  <c r="S63" i="12"/>
  <c r="K42" i="12"/>
  <c r="R63" i="12"/>
  <c r="K58" i="12"/>
  <c r="I113" i="12"/>
  <c r="R42" i="12"/>
  <c r="S42" i="12"/>
  <c r="R58" i="12"/>
  <c r="S44" i="12"/>
  <c r="S58" i="12" s="1"/>
  <c r="S85" i="12"/>
  <c r="S96" i="12" s="1"/>
  <c r="R96" i="12"/>
  <c r="R17" i="12"/>
  <c r="S12" i="12"/>
  <c r="S17" i="12" s="1"/>
  <c r="K110" i="12"/>
  <c r="K63" i="12"/>
  <c r="S78" i="12"/>
  <c r="R110" i="12"/>
  <c r="S19" i="12"/>
  <c r="S22" i="12" s="1"/>
  <c r="R22" i="12"/>
  <c r="S110" i="12"/>
  <c r="J49" i="11"/>
  <c r="J52" i="11" s="1"/>
  <c r="P21" i="11"/>
  <c r="P52" i="11" s="1"/>
  <c r="Q14" i="11"/>
  <c r="Q21" i="11" s="1"/>
  <c r="Q49" i="11"/>
  <c r="O109" i="10"/>
  <c r="N109" i="10"/>
  <c r="M109" i="10"/>
  <c r="L109" i="10"/>
  <c r="H109" i="10"/>
  <c r="J108" i="10"/>
  <c r="R108" i="10" s="1"/>
  <c r="S108" i="10" s="1"/>
  <c r="I108" i="10"/>
  <c r="R107" i="10"/>
  <c r="S107" i="10" s="1"/>
  <c r="K107" i="10"/>
  <c r="J107" i="10"/>
  <c r="I107" i="10"/>
  <c r="R106" i="10"/>
  <c r="S106" i="10" s="1"/>
  <c r="J106" i="10"/>
  <c r="I106" i="10"/>
  <c r="K106" i="10" s="1"/>
  <c r="J105" i="10"/>
  <c r="I105" i="10"/>
  <c r="J104" i="10"/>
  <c r="I104" i="10"/>
  <c r="R103" i="10"/>
  <c r="S103" i="10" s="1"/>
  <c r="K103" i="10"/>
  <c r="J103" i="10"/>
  <c r="I103" i="10"/>
  <c r="J102" i="10"/>
  <c r="I102" i="10"/>
  <c r="K102" i="10" s="1"/>
  <c r="J101" i="10"/>
  <c r="I101" i="10"/>
  <c r="J100" i="10"/>
  <c r="I100" i="10"/>
  <c r="Q98" i="10"/>
  <c r="P98" i="10"/>
  <c r="O98" i="10"/>
  <c r="N98" i="10"/>
  <c r="L98" i="10"/>
  <c r="I98" i="10"/>
  <c r="H98" i="10"/>
  <c r="K97" i="10"/>
  <c r="K98" i="10" s="1"/>
  <c r="J97" i="10"/>
  <c r="I97" i="10"/>
  <c r="Q95" i="10"/>
  <c r="P95" i="10"/>
  <c r="O95" i="10"/>
  <c r="N95" i="10"/>
  <c r="M95" i="10"/>
  <c r="L95" i="10"/>
  <c r="H95" i="10"/>
  <c r="R94" i="10"/>
  <c r="S94" i="10" s="1"/>
  <c r="K94" i="10"/>
  <c r="J94" i="10"/>
  <c r="I94" i="10"/>
  <c r="J93" i="10"/>
  <c r="I93" i="10"/>
  <c r="K93" i="10" s="1"/>
  <c r="J92" i="10"/>
  <c r="I92" i="10"/>
  <c r="K91" i="10"/>
  <c r="J91" i="10"/>
  <c r="R91" i="10" s="1"/>
  <c r="S91" i="10" s="1"/>
  <c r="I91" i="10"/>
  <c r="R90" i="10"/>
  <c r="S90" i="10" s="1"/>
  <c r="K90" i="10"/>
  <c r="J90" i="10"/>
  <c r="I90" i="10"/>
  <c r="R89" i="10"/>
  <c r="S89" i="10" s="1"/>
  <c r="J89" i="10"/>
  <c r="I89" i="10"/>
  <c r="K89" i="10" s="1"/>
  <c r="J88" i="10"/>
  <c r="I88" i="10"/>
  <c r="J87" i="10"/>
  <c r="R87" i="10" s="1"/>
  <c r="I87" i="10"/>
  <c r="R86" i="10"/>
  <c r="S86" i="10" s="1"/>
  <c r="K86" i="10"/>
  <c r="J86" i="10"/>
  <c r="I86" i="10"/>
  <c r="J85" i="10"/>
  <c r="I85" i="10"/>
  <c r="K85" i="10" s="1"/>
  <c r="J84" i="10"/>
  <c r="I84" i="10"/>
  <c r="Q82" i="10"/>
  <c r="P82" i="10"/>
  <c r="O82" i="10"/>
  <c r="N82" i="10"/>
  <c r="L82" i="10"/>
  <c r="H82" i="10"/>
  <c r="J81" i="10"/>
  <c r="I81" i="10"/>
  <c r="J80" i="10"/>
  <c r="R80" i="10" s="1"/>
  <c r="S80" i="10" s="1"/>
  <c r="I80" i="10"/>
  <c r="R79" i="10"/>
  <c r="S79" i="10" s="1"/>
  <c r="K79" i="10"/>
  <c r="J79" i="10"/>
  <c r="I79" i="10"/>
  <c r="L78" i="10"/>
  <c r="J78" i="10"/>
  <c r="R78" i="10" s="1"/>
  <c r="S78" i="10" s="1"/>
  <c r="I78" i="10"/>
  <c r="J77" i="10"/>
  <c r="I77" i="10"/>
  <c r="Q75" i="10"/>
  <c r="P75" i="10"/>
  <c r="O75" i="10"/>
  <c r="N75" i="10"/>
  <c r="M75" i="10"/>
  <c r="L75" i="10"/>
  <c r="J75" i="10"/>
  <c r="H75" i="10"/>
  <c r="R74" i="10"/>
  <c r="S74" i="10" s="1"/>
  <c r="K74" i="10"/>
  <c r="J74" i="10"/>
  <c r="I74" i="10"/>
  <c r="J73" i="10"/>
  <c r="I73" i="10"/>
  <c r="K73" i="10" s="1"/>
  <c r="S72" i="10"/>
  <c r="N72" i="10"/>
  <c r="K72" i="10"/>
  <c r="J72" i="10"/>
  <c r="I72" i="10"/>
  <c r="R72" i="10" s="1"/>
  <c r="R71" i="10"/>
  <c r="S71" i="10" s="1"/>
  <c r="K71" i="10"/>
  <c r="J71" i="10"/>
  <c r="I71" i="10"/>
  <c r="Q69" i="10"/>
  <c r="P69" i="10"/>
  <c r="O69" i="10"/>
  <c r="N69" i="10"/>
  <c r="M69" i="10"/>
  <c r="L69" i="10"/>
  <c r="H69" i="10"/>
  <c r="L68" i="10"/>
  <c r="J68" i="10"/>
  <c r="I68" i="10"/>
  <c r="K67" i="10"/>
  <c r="J67" i="10"/>
  <c r="R67" i="10" s="1"/>
  <c r="S67" i="10" s="1"/>
  <c r="I67" i="10"/>
  <c r="Q65" i="10"/>
  <c r="P65" i="10"/>
  <c r="O65" i="10"/>
  <c r="N65" i="10"/>
  <c r="L65" i="10"/>
  <c r="K65" i="10"/>
  <c r="H65" i="10"/>
  <c r="J64" i="10"/>
  <c r="J65" i="10" s="1"/>
  <c r="I64" i="10"/>
  <c r="R64" i="10" s="1"/>
  <c r="S64" i="10" s="1"/>
  <c r="S65" i="10" s="1"/>
  <c r="Q62" i="10"/>
  <c r="P62" i="10"/>
  <c r="O62" i="10"/>
  <c r="N62" i="10"/>
  <c r="M62" i="10"/>
  <c r="L62" i="10"/>
  <c r="H62" i="10"/>
  <c r="J61" i="10"/>
  <c r="R61" i="10" s="1"/>
  <c r="S61" i="10" s="1"/>
  <c r="I61" i="10"/>
  <c r="R60" i="10"/>
  <c r="S60" i="10" s="1"/>
  <c r="K60" i="10"/>
  <c r="J60" i="10"/>
  <c r="I60" i="10"/>
  <c r="J59" i="10"/>
  <c r="J62" i="10" s="1"/>
  <c r="I59" i="10"/>
  <c r="K59" i="10" s="1"/>
  <c r="Q57" i="10"/>
  <c r="P57" i="10"/>
  <c r="N57" i="10"/>
  <c r="M57" i="10"/>
  <c r="L57" i="10"/>
  <c r="H57" i="10"/>
  <c r="J56" i="10"/>
  <c r="I56" i="10"/>
  <c r="O55" i="10"/>
  <c r="R55" i="10" s="1"/>
  <c r="S55" i="10" s="1"/>
  <c r="K55" i="10"/>
  <c r="J55" i="10"/>
  <c r="I55" i="10"/>
  <c r="J54" i="10"/>
  <c r="I54" i="10"/>
  <c r="K54" i="10" s="1"/>
  <c r="O53" i="10"/>
  <c r="J53" i="10"/>
  <c r="K53" i="10" s="1"/>
  <c r="I53" i="10"/>
  <c r="R52" i="10"/>
  <c r="S52" i="10" s="1"/>
  <c r="K52" i="10"/>
  <c r="J52" i="10"/>
  <c r="I52" i="10"/>
  <c r="R51" i="10"/>
  <c r="S51" i="10" s="1"/>
  <c r="O51" i="10"/>
  <c r="J51" i="10"/>
  <c r="I51" i="10"/>
  <c r="L50" i="10"/>
  <c r="K50" i="10"/>
  <c r="J50" i="10"/>
  <c r="I50" i="10"/>
  <c r="R50" i="10" s="1"/>
  <c r="S50" i="10" s="1"/>
  <c r="R49" i="10"/>
  <c r="S49" i="10" s="1"/>
  <c r="J49" i="10"/>
  <c r="I49" i="10"/>
  <c r="K49" i="10" s="1"/>
  <c r="J48" i="10"/>
  <c r="I48" i="10"/>
  <c r="J47" i="10"/>
  <c r="R47" i="10" s="1"/>
  <c r="S47" i="10" s="1"/>
  <c r="I47" i="10"/>
  <c r="R46" i="10"/>
  <c r="S46" i="10" s="1"/>
  <c r="K46" i="10"/>
  <c r="J46" i="10"/>
  <c r="I46" i="10"/>
  <c r="J45" i="10"/>
  <c r="I45" i="10"/>
  <c r="K45" i="10" s="1"/>
  <c r="J44" i="10"/>
  <c r="I44" i="10"/>
  <c r="J43" i="10"/>
  <c r="I43" i="10"/>
  <c r="Q41" i="10"/>
  <c r="P41" i="10"/>
  <c r="O41" i="10"/>
  <c r="N41" i="10"/>
  <c r="M41" i="10"/>
  <c r="L41" i="10"/>
  <c r="H41" i="10"/>
  <c r="R40" i="10"/>
  <c r="S40" i="10" s="1"/>
  <c r="K40" i="10"/>
  <c r="J40" i="10"/>
  <c r="I40" i="10"/>
  <c r="J39" i="10"/>
  <c r="I39" i="10"/>
  <c r="K39" i="10" s="1"/>
  <c r="J38" i="10"/>
  <c r="I38" i="10"/>
  <c r="J37" i="10"/>
  <c r="R37" i="10" s="1"/>
  <c r="S37" i="10" s="1"/>
  <c r="I37" i="10"/>
  <c r="R36" i="10"/>
  <c r="S36" i="10" s="1"/>
  <c r="K36" i="10"/>
  <c r="J36" i="10"/>
  <c r="I36" i="10"/>
  <c r="J35" i="10"/>
  <c r="I35" i="10"/>
  <c r="K35" i="10" s="1"/>
  <c r="J34" i="10"/>
  <c r="J41" i="10" s="1"/>
  <c r="I34" i="10"/>
  <c r="Q32" i="10"/>
  <c r="P32" i="10"/>
  <c r="N32" i="10"/>
  <c r="M32" i="10"/>
  <c r="L32" i="10"/>
  <c r="H32" i="10"/>
  <c r="K31" i="10"/>
  <c r="J31" i="10"/>
  <c r="R31" i="10" s="1"/>
  <c r="S31" i="10" s="1"/>
  <c r="I31" i="10"/>
  <c r="O30" i="10"/>
  <c r="J30" i="10"/>
  <c r="I30" i="10"/>
  <c r="K30" i="10" s="1"/>
  <c r="S29" i="10"/>
  <c r="O29" i="10"/>
  <c r="J29" i="10"/>
  <c r="K29" i="10" s="1"/>
  <c r="I29" i="10"/>
  <c r="R29" i="10" s="1"/>
  <c r="R28" i="10"/>
  <c r="S28" i="10" s="1"/>
  <c r="K28" i="10"/>
  <c r="J28" i="10"/>
  <c r="I28" i="10"/>
  <c r="J27" i="10"/>
  <c r="I27" i="10"/>
  <c r="K27" i="10" s="1"/>
  <c r="J26" i="10"/>
  <c r="I26" i="10"/>
  <c r="O25" i="10"/>
  <c r="K25" i="10"/>
  <c r="J25" i="10"/>
  <c r="I25" i="10"/>
  <c r="J24" i="10"/>
  <c r="J32" i="10" s="1"/>
  <c r="I24" i="10"/>
  <c r="K24" i="10" s="1"/>
  <c r="Q22" i="10"/>
  <c r="P22" i="10"/>
  <c r="N22" i="10"/>
  <c r="M22" i="10"/>
  <c r="L22" i="10"/>
  <c r="H22" i="10"/>
  <c r="J21" i="10"/>
  <c r="I21" i="10"/>
  <c r="O20" i="10"/>
  <c r="O22" i="10" s="1"/>
  <c r="K20" i="10"/>
  <c r="J20" i="10"/>
  <c r="I20" i="10"/>
  <c r="R20" i="10" s="1"/>
  <c r="S20" i="10" s="1"/>
  <c r="O19" i="10"/>
  <c r="J19" i="10"/>
  <c r="J22" i="10" s="1"/>
  <c r="I19" i="10"/>
  <c r="Q17" i="10"/>
  <c r="P17" i="10"/>
  <c r="P112" i="10" s="1"/>
  <c r="N17" i="10"/>
  <c r="M17" i="10"/>
  <c r="M112" i="10" s="1"/>
  <c r="H17" i="10"/>
  <c r="O16" i="10"/>
  <c r="K16" i="10"/>
  <c r="J16" i="10"/>
  <c r="I16" i="10"/>
  <c r="R16" i="10" s="1"/>
  <c r="S16" i="10" s="1"/>
  <c r="J15" i="10"/>
  <c r="I15" i="10"/>
  <c r="K15" i="10" s="1"/>
  <c r="J14" i="10"/>
  <c r="I14" i="10"/>
  <c r="O13" i="10"/>
  <c r="O17" i="10" s="1"/>
  <c r="L13" i="10"/>
  <c r="L17" i="10" s="1"/>
  <c r="L112" i="10" s="1"/>
  <c r="J13" i="10"/>
  <c r="I13" i="10"/>
  <c r="J12" i="10"/>
  <c r="I12" i="10"/>
  <c r="N52" i="9"/>
  <c r="N49" i="9"/>
  <c r="M49" i="9"/>
  <c r="M52" i="9" s="1"/>
  <c r="L49" i="9"/>
  <c r="K49" i="9"/>
  <c r="K52" i="9" s="1"/>
  <c r="G49" i="9"/>
  <c r="I48" i="9"/>
  <c r="H48" i="9"/>
  <c r="J48" i="9" s="1"/>
  <c r="P47" i="9"/>
  <c r="Q47" i="9" s="1"/>
  <c r="J47" i="9"/>
  <c r="I47" i="9"/>
  <c r="H47" i="9"/>
  <c r="O46" i="9"/>
  <c r="I46" i="9"/>
  <c r="J46" i="9" s="1"/>
  <c r="H46" i="9"/>
  <c r="I45" i="9"/>
  <c r="H45" i="9"/>
  <c r="J45" i="9" s="1"/>
  <c r="P44" i="9"/>
  <c r="Q44" i="9" s="1"/>
  <c r="J44" i="9"/>
  <c r="I44" i="9"/>
  <c r="H44" i="9"/>
  <c r="I43" i="9"/>
  <c r="H43" i="9"/>
  <c r="P43" i="9" s="1"/>
  <c r="Q43" i="9" s="1"/>
  <c r="O42" i="9"/>
  <c r="I42" i="9"/>
  <c r="H42" i="9"/>
  <c r="P42" i="9" s="1"/>
  <c r="Q42" i="9" s="1"/>
  <c r="P41" i="9"/>
  <c r="Q41" i="9" s="1"/>
  <c r="J41" i="9"/>
  <c r="I41" i="9"/>
  <c r="H41" i="9"/>
  <c r="I40" i="9"/>
  <c r="H40" i="9"/>
  <c r="P40" i="9" s="1"/>
  <c r="Q40" i="9" s="1"/>
  <c r="O39" i="9"/>
  <c r="I39" i="9"/>
  <c r="H39" i="9"/>
  <c r="J39" i="9" s="1"/>
  <c r="P38" i="9"/>
  <c r="Q38" i="9" s="1"/>
  <c r="J38" i="9"/>
  <c r="I38" i="9"/>
  <c r="H38" i="9"/>
  <c r="I37" i="9"/>
  <c r="H37" i="9"/>
  <c r="P37" i="9" s="1"/>
  <c r="Q37" i="9" s="1"/>
  <c r="O36" i="9"/>
  <c r="I36" i="9"/>
  <c r="H36" i="9"/>
  <c r="J36" i="9" s="1"/>
  <c r="P35" i="9"/>
  <c r="Q35" i="9" s="1"/>
  <c r="J35" i="9"/>
  <c r="I35" i="9"/>
  <c r="H35" i="9"/>
  <c r="I34" i="9"/>
  <c r="H34" i="9"/>
  <c r="P34" i="9" s="1"/>
  <c r="Q34" i="9" s="1"/>
  <c r="I33" i="9"/>
  <c r="H33" i="9"/>
  <c r="P33" i="9" s="1"/>
  <c r="Q33" i="9" s="1"/>
  <c r="P32" i="9"/>
  <c r="Q32" i="9" s="1"/>
  <c r="J32" i="9"/>
  <c r="I32" i="9"/>
  <c r="H32" i="9"/>
  <c r="I31" i="9"/>
  <c r="H31" i="9"/>
  <c r="P31" i="9" s="1"/>
  <c r="Q31" i="9" s="1"/>
  <c r="I30" i="9"/>
  <c r="H30" i="9"/>
  <c r="P30" i="9" s="1"/>
  <c r="Q30" i="9" s="1"/>
  <c r="I29" i="9"/>
  <c r="P29" i="9" s="1"/>
  <c r="Q29" i="9" s="1"/>
  <c r="H29" i="9"/>
  <c r="O28" i="9"/>
  <c r="I28" i="9"/>
  <c r="H28" i="9"/>
  <c r="P28" i="9" s="1"/>
  <c r="Q28" i="9" s="1"/>
  <c r="O27" i="9"/>
  <c r="I27" i="9"/>
  <c r="H27" i="9"/>
  <c r="P27" i="9" s="1"/>
  <c r="Q27" i="9" s="1"/>
  <c r="P26" i="9"/>
  <c r="Q26" i="9" s="1"/>
  <c r="J26" i="9"/>
  <c r="I26" i="9"/>
  <c r="H26" i="9"/>
  <c r="I25" i="9"/>
  <c r="H25" i="9"/>
  <c r="J25" i="9" s="1"/>
  <c r="O24" i="9"/>
  <c r="O49" i="9" s="1"/>
  <c r="O52" i="9" s="1"/>
  <c r="I24" i="9"/>
  <c r="H24" i="9"/>
  <c r="P24" i="9" s="1"/>
  <c r="O21" i="9"/>
  <c r="N21" i="9"/>
  <c r="M21" i="9"/>
  <c r="L21" i="9"/>
  <c r="K21" i="9"/>
  <c r="G21" i="9"/>
  <c r="G52" i="9" s="1"/>
  <c r="I20" i="9"/>
  <c r="H20" i="9"/>
  <c r="P20" i="9" s="1"/>
  <c r="Q20" i="9" s="1"/>
  <c r="P19" i="9"/>
  <c r="Q19" i="9" s="1"/>
  <c r="J19" i="9"/>
  <c r="I19" i="9"/>
  <c r="H19" i="9"/>
  <c r="I18" i="9"/>
  <c r="H18" i="9"/>
  <c r="P18" i="9" s="1"/>
  <c r="Q18" i="9" s="1"/>
  <c r="I17" i="9"/>
  <c r="H17" i="9"/>
  <c r="P17" i="9" s="1"/>
  <c r="Q17" i="9" s="1"/>
  <c r="I16" i="9"/>
  <c r="P16" i="9" s="1"/>
  <c r="Q16" i="9" s="1"/>
  <c r="H16" i="9"/>
  <c r="I15" i="9"/>
  <c r="H15" i="9"/>
  <c r="J15" i="9" s="1"/>
  <c r="P14" i="9"/>
  <c r="J14" i="9"/>
  <c r="I14" i="9"/>
  <c r="H14" i="9"/>
  <c r="Q109" i="8"/>
  <c r="P109" i="8"/>
  <c r="O109" i="8"/>
  <c r="N109" i="8"/>
  <c r="M109" i="8"/>
  <c r="L109" i="8"/>
  <c r="H109" i="8"/>
  <c r="J108" i="8"/>
  <c r="I108" i="8"/>
  <c r="R108" i="8" s="1"/>
  <c r="S108" i="8" s="1"/>
  <c r="R107" i="8"/>
  <c r="S107" i="8" s="1"/>
  <c r="K107" i="8"/>
  <c r="J107" i="8"/>
  <c r="I107" i="8"/>
  <c r="J106" i="8"/>
  <c r="I106" i="8"/>
  <c r="R106" i="8" s="1"/>
  <c r="S106" i="8" s="1"/>
  <c r="J105" i="8"/>
  <c r="R105" i="8" s="1"/>
  <c r="S105" i="8" s="1"/>
  <c r="I105" i="8"/>
  <c r="K105" i="8" s="1"/>
  <c r="J104" i="8"/>
  <c r="I104" i="8"/>
  <c r="J103" i="8"/>
  <c r="I103" i="8"/>
  <c r="R103" i="8" s="1"/>
  <c r="S103" i="8" s="1"/>
  <c r="R102" i="8"/>
  <c r="S102" i="8" s="1"/>
  <c r="J102" i="8"/>
  <c r="I102" i="8"/>
  <c r="K102" i="8" s="1"/>
  <c r="J101" i="8"/>
  <c r="J109" i="8" s="1"/>
  <c r="I101" i="8"/>
  <c r="J100" i="8"/>
  <c r="I100" i="8"/>
  <c r="K100" i="8" s="1"/>
  <c r="Q98" i="8"/>
  <c r="P98" i="8"/>
  <c r="O98" i="8"/>
  <c r="N98" i="8"/>
  <c r="L98" i="8"/>
  <c r="J98" i="8"/>
  <c r="I98" i="8"/>
  <c r="H98" i="8"/>
  <c r="J97" i="8"/>
  <c r="I97" i="8"/>
  <c r="K97" i="8" s="1"/>
  <c r="K98" i="8" s="1"/>
  <c r="Q95" i="8"/>
  <c r="P95" i="8"/>
  <c r="O95" i="8"/>
  <c r="N95" i="8"/>
  <c r="M95" i="8"/>
  <c r="L95" i="8"/>
  <c r="H95" i="8"/>
  <c r="J94" i="8"/>
  <c r="I94" i="8"/>
  <c r="R94" i="8" s="1"/>
  <c r="S94" i="8" s="1"/>
  <c r="R93" i="8"/>
  <c r="S93" i="8" s="1"/>
  <c r="J93" i="8"/>
  <c r="I93" i="8"/>
  <c r="K93" i="8" s="1"/>
  <c r="J92" i="8"/>
  <c r="I92" i="8"/>
  <c r="J91" i="8"/>
  <c r="I91" i="8"/>
  <c r="R91" i="8" s="1"/>
  <c r="S91" i="8" s="1"/>
  <c r="R90" i="8"/>
  <c r="S90" i="8" s="1"/>
  <c r="K90" i="8"/>
  <c r="J90" i="8"/>
  <c r="I90" i="8"/>
  <c r="J89" i="8"/>
  <c r="I89" i="8"/>
  <c r="R89" i="8" s="1"/>
  <c r="S89" i="8" s="1"/>
  <c r="S88" i="8"/>
  <c r="J88" i="8"/>
  <c r="R88" i="8" s="1"/>
  <c r="I88" i="8"/>
  <c r="K88" i="8" s="1"/>
  <c r="J87" i="8"/>
  <c r="I87" i="8"/>
  <c r="J86" i="8"/>
  <c r="I86" i="8"/>
  <c r="R86" i="8" s="1"/>
  <c r="S86" i="8" s="1"/>
  <c r="R85" i="8"/>
  <c r="S85" i="8" s="1"/>
  <c r="J85" i="8"/>
  <c r="I85" i="8"/>
  <c r="K85" i="8" s="1"/>
  <c r="J84" i="8"/>
  <c r="I84" i="8"/>
  <c r="Q82" i="8"/>
  <c r="P82" i="8"/>
  <c r="O82" i="8"/>
  <c r="N82" i="8"/>
  <c r="L82" i="8"/>
  <c r="H82" i="8"/>
  <c r="J81" i="8"/>
  <c r="I81" i="8"/>
  <c r="J80" i="8"/>
  <c r="I80" i="8"/>
  <c r="R80" i="8" s="1"/>
  <c r="S80" i="8" s="1"/>
  <c r="R79" i="8"/>
  <c r="S79" i="8" s="1"/>
  <c r="K79" i="8"/>
  <c r="J79" i="8"/>
  <c r="I79" i="8"/>
  <c r="L78" i="8"/>
  <c r="J78" i="8"/>
  <c r="I78" i="8"/>
  <c r="J77" i="8"/>
  <c r="I77" i="8"/>
  <c r="I82" i="8" s="1"/>
  <c r="R75" i="8"/>
  <c r="Q75" i="8"/>
  <c r="P75" i="8"/>
  <c r="O75" i="8"/>
  <c r="M75" i="8"/>
  <c r="L75" i="8"/>
  <c r="J75" i="8"/>
  <c r="I75" i="8"/>
  <c r="H75" i="8"/>
  <c r="J74" i="8"/>
  <c r="I74" i="8"/>
  <c r="R74" i="8" s="1"/>
  <c r="S74" i="8" s="1"/>
  <c r="S73" i="8"/>
  <c r="R73" i="8"/>
  <c r="J73" i="8"/>
  <c r="I73" i="8"/>
  <c r="K73" i="8" s="1"/>
  <c r="N72" i="8"/>
  <c r="N75" i="8" s="1"/>
  <c r="K72" i="8"/>
  <c r="J72" i="8"/>
  <c r="R72" i="8" s="1"/>
  <c r="S72" i="8" s="1"/>
  <c r="I72" i="8"/>
  <c r="J71" i="8"/>
  <c r="I71" i="8"/>
  <c r="R71" i="8" s="1"/>
  <c r="S71" i="8" s="1"/>
  <c r="Q69" i="8"/>
  <c r="P69" i="8"/>
  <c r="O69" i="8"/>
  <c r="N69" i="8"/>
  <c r="M69" i="8"/>
  <c r="L69" i="8"/>
  <c r="J69" i="8"/>
  <c r="H69" i="8"/>
  <c r="L68" i="8"/>
  <c r="J68" i="8"/>
  <c r="I68" i="8"/>
  <c r="J67" i="8"/>
  <c r="I67" i="8"/>
  <c r="I69" i="8" s="1"/>
  <c r="Q65" i="8"/>
  <c r="P65" i="8"/>
  <c r="O65" i="8"/>
  <c r="N65" i="8"/>
  <c r="L65" i="8"/>
  <c r="K65" i="8"/>
  <c r="J65" i="8"/>
  <c r="I65" i="8"/>
  <c r="H65" i="8"/>
  <c r="J64" i="8"/>
  <c r="I64" i="8"/>
  <c r="R64" i="8" s="1"/>
  <c r="S64" i="8" s="1"/>
  <c r="S65" i="8" s="1"/>
  <c r="Q62" i="8"/>
  <c r="P62" i="8"/>
  <c r="O62" i="8"/>
  <c r="N62" i="8"/>
  <c r="M62" i="8"/>
  <c r="L62" i="8"/>
  <c r="H62" i="8"/>
  <c r="J61" i="8"/>
  <c r="I61" i="8"/>
  <c r="R61" i="8" s="1"/>
  <c r="S61" i="8" s="1"/>
  <c r="R60" i="8"/>
  <c r="S60" i="8" s="1"/>
  <c r="K60" i="8"/>
  <c r="J60" i="8"/>
  <c r="I60" i="8"/>
  <c r="J59" i="8"/>
  <c r="J62" i="8" s="1"/>
  <c r="I59" i="8"/>
  <c r="I62" i="8" s="1"/>
  <c r="Q57" i="8"/>
  <c r="P57" i="8"/>
  <c r="N57" i="8"/>
  <c r="M57" i="8"/>
  <c r="L57" i="8"/>
  <c r="H57" i="8"/>
  <c r="J56" i="8"/>
  <c r="I56" i="8"/>
  <c r="O55" i="8"/>
  <c r="J55" i="8"/>
  <c r="I55" i="8"/>
  <c r="R55" i="8" s="1"/>
  <c r="S55" i="8" s="1"/>
  <c r="R54" i="8"/>
  <c r="S54" i="8" s="1"/>
  <c r="J54" i="8"/>
  <c r="I54" i="8"/>
  <c r="K54" i="8" s="1"/>
  <c r="O53" i="8"/>
  <c r="K53" i="8"/>
  <c r="J53" i="8"/>
  <c r="R53" i="8" s="1"/>
  <c r="S53" i="8" s="1"/>
  <c r="I53" i="8"/>
  <c r="J52" i="8"/>
  <c r="I52" i="8"/>
  <c r="R52" i="8" s="1"/>
  <c r="S52" i="8" s="1"/>
  <c r="S51" i="8"/>
  <c r="R51" i="8"/>
  <c r="O51" i="8"/>
  <c r="O57" i="8" s="1"/>
  <c r="J51" i="8"/>
  <c r="K51" i="8" s="1"/>
  <c r="I51" i="8"/>
  <c r="L50" i="8"/>
  <c r="R50" i="8" s="1"/>
  <c r="S50" i="8" s="1"/>
  <c r="K50" i="8"/>
  <c r="J50" i="8"/>
  <c r="I50" i="8"/>
  <c r="J49" i="8"/>
  <c r="I49" i="8"/>
  <c r="S48" i="8"/>
  <c r="J48" i="8"/>
  <c r="R48" i="8" s="1"/>
  <c r="I48" i="8"/>
  <c r="K48" i="8" s="1"/>
  <c r="J47" i="8"/>
  <c r="R47" i="8" s="1"/>
  <c r="S47" i="8" s="1"/>
  <c r="I47" i="8"/>
  <c r="J46" i="8"/>
  <c r="I46" i="8"/>
  <c r="R46" i="8" s="1"/>
  <c r="S46" i="8" s="1"/>
  <c r="S45" i="8"/>
  <c r="R45" i="8"/>
  <c r="J45" i="8"/>
  <c r="I45" i="8"/>
  <c r="K45" i="8" s="1"/>
  <c r="J44" i="8"/>
  <c r="J57" i="8" s="1"/>
  <c r="I44" i="8"/>
  <c r="J43" i="8"/>
  <c r="I43" i="8"/>
  <c r="Q41" i="8"/>
  <c r="P41" i="8"/>
  <c r="O41" i="8"/>
  <c r="N41" i="8"/>
  <c r="M41" i="8"/>
  <c r="L41" i="8"/>
  <c r="I41" i="8"/>
  <c r="H41" i="8"/>
  <c r="J40" i="8"/>
  <c r="I40" i="8"/>
  <c r="R40" i="8" s="1"/>
  <c r="S40" i="8" s="1"/>
  <c r="R39" i="8"/>
  <c r="S39" i="8" s="1"/>
  <c r="J39" i="8"/>
  <c r="I39" i="8"/>
  <c r="K39" i="8" s="1"/>
  <c r="J38" i="8"/>
  <c r="J41" i="8" s="1"/>
  <c r="I38" i="8"/>
  <c r="J37" i="8"/>
  <c r="I37" i="8"/>
  <c r="K37" i="8" s="1"/>
  <c r="R36" i="8"/>
  <c r="S36" i="8" s="1"/>
  <c r="K36" i="8"/>
  <c r="J36" i="8"/>
  <c r="I36" i="8"/>
  <c r="J35" i="8"/>
  <c r="I35" i="8"/>
  <c r="J34" i="8"/>
  <c r="R34" i="8" s="1"/>
  <c r="I34" i="8"/>
  <c r="K34" i="8" s="1"/>
  <c r="Q32" i="8"/>
  <c r="P32" i="8"/>
  <c r="N32" i="8"/>
  <c r="M32" i="8"/>
  <c r="L32" i="8"/>
  <c r="H32" i="8"/>
  <c r="J31" i="8"/>
  <c r="I31" i="8"/>
  <c r="K31" i="8" s="1"/>
  <c r="R30" i="8"/>
  <c r="S30" i="8" s="1"/>
  <c r="O30" i="8"/>
  <c r="J30" i="8"/>
  <c r="I30" i="8"/>
  <c r="K30" i="8" s="1"/>
  <c r="O29" i="8"/>
  <c r="J29" i="8"/>
  <c r="K29" i="8" s="1"/>
  <c r="I29" i="8"/>
  <c r="J28" i="8"/>
  <c r="I28" i="8"/>
  <c r="R28" i="8" s="1"/>
  <c r="S28" i="8" s="1"/>
  <c r="S27" i="8"/>
  <c r="R27" i="8"/>
  <c r="J27" i="8"/>
  <c r="I27" i="8"/>
  <c r="K27" i="8" s="1"/>
  <c r="J26" i="8"/>
  <c r="J32" i="8" s="1"/>
  <c r="I26" i="8"/>
  <c r="I32" i="8" s="1"/>
  <c r="O25" i="8"/>
  <c r="O32" i="8" s="1"/>
  <c r="J25" i="8"/>
  <c r="I25" i="8"/>
  <c r="R25" i="8" s="1"/>
  <c r="S25" i="8" s="1"/>
  <c r="R24" i="8"/>
  <c r="J24" i="8"/>
  <c r="I24" i="8"/>
  <c r="K24" i="8" s="1"/>
  <c r="Q22" i="8"/>
  <c r="P22" i="8"/>
  <c r="N22" i="8"/>
  <c r="M22" i="8"/>
  <c r="L22" i="8"/>
  <c r="H22" i="8"/>
  <c r="J21" i="8"/>
  <c r="R21" i="8" s="1"/>
  <c r="S21" i="8" s="1"/>
  <c r="I21" i="8"/>
  <c r="O20" i="8"/>
  <c r="R20" i="8" s="1"/>
  <c r="S20" i="8" s="1"/>
  <c r="K20" i="8"/>
  <c r="J20" i="8"/>
  <c r="I20" i="8"/>
  <c r="O19" i="8"/>
  <c r="J19" i="8"/>
  <c r="J22" i="8" s="1"/>
  <c r="I19" i="8"/>
  <c r="Q17" i="8"/>
  <c r="P17" i="8"/>
  <c r="N17" i="8"/>
  <c r="M17" i="8"/>
  <c r="M112" i="8" s="1"/>
  <c r="L17" i="8"/>
  <c r="L112" i="8" s="1"/>
  <c r="H17" i="8"/>
  <c r="O16" i="8"/>
  <c r="R16" i="8" s="1"/>
  <c r="S16" i="8" s="1"/>
  <c r="K16" i="8"/>
  <c r="J16" i="8"/>
  <c r="I16" i="8"/>
  <c r="J15" i="8"/>
  <c r="I15" i="8"/>
  <c r="J14" i="8"/>
  <c r="R14" i="8" s="1"/>
  <c r="S14" i="8" s="1"/>
  <c r="I14" i="8"/>
  <c r="O13" i="8"/>
  <c r="O17" i="8" s="1"/>
  <c r="L13" i="8"/>
  <c r="J13" i="8"/>
  <c r="I13" i="8"/>
  <c r="K13" i="8" s="1"/>
  <c r="J12" i="8"/>
  <c r="J17" i="8" s="1"/>
  <c r="I12" i="8"/>
  <c r="K113" i="12" l="1"/>
  <c r="Q52" i="11"/>
  <c r="S113" i="12"/>
  <c r="R113" i="12"/>
  <c r="J95" i="10"/>
  <c r="K100" i="10"/>
  <c r="H112" i="10"/>
  <c r="Q112" i="10"/>
  <c r="O32" i="10"/>
  <c r="R25" i="10"/>
  <c r="S25" i="10" s="1"/>
  <c r="R100" i="10"/>
  <c r="J109" i="10"/>
  <c r="N112" i="10"/>
  <c r="R26" i="10"/>
  <c r="S26" i="10" s="1"/>
  <c r="K26" i="10"/>
  <c r="K32" i="10" s="1"/>
  <c r="I32" i="10"/>
  <c r="I41" i="10"/>
  <c r="I69" i="10"/>
  <c r="K68" i="10"/>
  <c r="K69" i="10" s="1"/>
  <c r="R92" i="10"/>
  <c r="S92" i="10" s="1"/>
  <c r="K92" i="10"/>
  <c r="R14" i="10"/>
  <c r="S14" i="10" s="1"/>
  <c r="K14" i="10"/>
  <c r="R39" i="10"/>
  <c r="S39" i="10" s="1"/>
  <c r="R45" i="10"/>
  <c r="S45" i="10" s="1"/>
  <c r="K47" i="10"/>
  <c r="R59" i="10"/>
  <c r="K61" i="10"/>
  <c r="K62" i="10" s="1"/>
  <c r="K80" i="10"/>
  <c r="R85" i="10"/>
  <c r="S85" i="10" s="1"/>
  <c r="K87" i="10"/>
  <c r="R101" i="10"/>
  <c r="S101" i="10" s="1"/>
  <c r="K101" i="10"/>
  <c r="K109" i="10" s="1"/>
  <c r="I109" i="10"/>
  <c r="R12" i="10"/>
  <c r="K12" i="10"/>
  <c r="K17" i="10" s="1"/>
  <c r="R24" i="10"/>
  <c r="J57" i="10"/>
  <c r="R43" i="10"/>
  <c r="R48" i="10"/>
  <c r="S48" i="10" s="1"/>
  <c r="K48" i="10"/>
  <c r="K75" i="10"/>
  <c r="I75" i="10"/>
  <c r="R81" i="10"/>
  <c r="S81" i="10" s="1"/>
  <c r="K81" i="10"/>
  <c r="R88" i="10"/>
  <c r="S88" i="10" s="1"/>
  <c r="K88" i="10"/>
  <c r="K108" i="10"/>
  <c r="J17" i="10"/>
  <c r="I22" i="10"/>
  <c r="K19" i="10"/>
  <c r="K22" i="10" s="1"/>
  <c r="R30" i="10"/>
  <c r="S30" i="10" s="1"/>
  <c r="R35" i="10"/>
  <c r="S35" i="10" s="1"/>
  <c r="K37" i="10"/>
  <c r="K43" i="10"/>
  <c r="R56" i="10"/>
  <c r="S56" i="10" s="1"/>
  <c r="K56" i="10"/>
  <c r="O57" i="10"/>
  <c r="I62" i="10"/>
  <c r="R68" i="10"/>
  <c r="S68" i="10" s="1"/>
  <c r="S69" i="10" s="1"/>
  <c r="R73" i="10"/>
  <c r="R21" i="10"/>
  <c r="S21" i="10" s="1"/>
  <c r="K21" i="10"/>
  <c r="R38" i="10"/>
  <c r="S38" i="10" s="1"/>
  <c r="K38" i="10"/>
  <c r="I57" i="10"/>
  <c r="R44" i="10"/>
  <c r="S44" i="10" s="1"/>
  <c r="K44" i="10"/>
  <c r="R65" i="10"/>
  <c r="J82" i="10"/>
  <c r="R77" i="10"/>
  <c r="R84" i="10"/>
  <c r="K84" i="10"/>
  <c r="K95" i="10" s="1"/>
  <c r="I95" i="10"/>
  <c r="R104" i="10"/>
  <c r="S104" i="10" s="1"/>
  <c r="K104" i="10"/>
  <c r="K13" i="10"/>
  <c r="R13" i="10"/>
  <c r="S13" i="10" s="1"/>
  <c r="I17" i="10"/>
  <c r="R27" i="10"/>
  <c r="S27" i="10" s="1"/>
  <c r="K51" i="10"/>
  <c r="R54" i="10"/>
  <c r="S54" i="10" s="1"/>
  <c r="I65" i="10"/>
  <c r="K77" i="10"/>
  <c r="R93" i="10"/>
  <c r="S93" i="10" s="1"/>
  <c r="R97" i="10"/>
  <c r="J98" i="10"/>
  <c r="R105" i="10"/>
  <c r="S105" i="10" s="1"/>
  <c r="K105" i="10"/>
  <c r="O112" i="10"/>
  <c r="R15" i="10"/>
  <c r="S15" i="10" s="1"/>
  <c r="R19" i="10"/>
  <c r="R34" i="10"/>
  <c r="K34" i="10"/>
  <c r="R53" i="10"/>
  <c r="S53" i="10" s="1"/>
  <c r="J69" i="10"/>
  <c r="I82" i="10"/>
  <c r="K78" i="10"/>
  <c r="R102" i="10"/>
  <c r="S102" i="10" s="1"/>
  <c r="P21" i="9"/>
  <c r="P49" i="9"/>
  <c r="P52" i="9" s="1"/>
  <c r="Q24" i="9"/>
  <c r="J16" i="9"/>
  <c r="H21" i="9"/>
  <c r="J29" i="9"/>
  <c r="I49" i="9"/>
  <c r="I21" i="9"/>
  <c r="J43" i="9"/>
  <c r="J18" i="9"/>
  <c r="J28" i="9"/>
  <c r="P46" i="9"/>
  <c r="Q46" i="9" s="1"/>
  <c r="P25" i="9"/>
  <c r="Q25" i="9" s="1"/>
  <c r="J42" i="9"/>
  <c r="P15" i="9"/>
  <c r="Q15" i="9" s="1"/>
  <c r="J20" i="9"/>
  <c r="J24" i="9"/>
  <c r="J27" i="9"/>
  <c r="J33" i="9"/>
  <c r="P45" i="9"/>
  <c r="Q45" i="9" s="1"/>
  <c r="P48" i="9"/>
  <c r="Q48" i="9" s="1"/>
  <c r="H49" i="9"/>
  <c r="H52" i="9" s="1"/>
  <c r="Q14" i="9"/>
  <c r="Q21" i="9" s="1"/>
  <c r="J40" i="9"/>
  <c r="J17" i="9"/>
  <c r="J21" i="9" s="1"/>
  <c r="J30" i="9"/>
  <c r="P36" i="9"/>
  <c r="Q36" i="9" s="1"/>
  <c r="P39" i="9"/>
  <c r="Q39" i="9" s="1"/>
  <c r="J34" i="9"/>
  <c r="J37" i="9"/>
  <c r="J31" i="9"/>
  <c r="K44" i="8"/>
  <c r="R44" i="8"/>
  <c r="S44" i="8" s="1"/>
  <c r="R92" i="8"/>
  <c r="S92" i="8" s="1"/>
  <c r="K92" i="8"/>
  <c r="I17" i="8"/>
  <c r="K12" i="8"/>
  <c r="K17" i="8" s="1"/>
  <c r="R12" i="8"/>
  <c r="R29" i="8"/>
  <c r="S29" i="8" s="1"/>
  <c r="S34" i="8"/>
  <c r="R65" i="8"/>
  <c r="K78" i="8"/>
  <c r="R78" i="8"/>
  <c r="S78" i="8" s="1"/>
  <c r="J112" i="8"/>
  <c r="R15" i="8"/>
  <c r="S15" i="8" s="1"/>
  <c r="K15" i="8"/>
  <c r="S24" i="8"/>
  <c r="R35" i="8"/>
  <c r="S35" i="8" s="1"/>
  <c r="K35" i="8"/>
  <c r="K41" i="8" s="1"/>
  <c r="R38" i="8"/>
  <c r="S38" i="8" s="1"/>
  <c r="K38" i="8"/>
  <c r="S75" i="8"/>
  <c r="J82" i="8"/>
  <c r="K81" i="8"/>
  <c r="R81" i="8"/>
  <c r="S81" i="8" s="1"/>
  <c r="K101" i="8"/>
  <c r="I109" i="8"/>
  <c r="R101" i="8"/>
  <c r="S101" i="8" s="1"/>
  <c r="R104" i="8"/>
  <c r="S104" i="8" s="1"/>
  <c r="K104" i="8"/>
  <c r="K109" i="8" s="1"/>
  <c r="I22" i="8"/>
  <c r="K19" i="8"/>
  <c r="R19" i="8"/>
  <c r="R26" i="8"/>
  <c r="S26" i="8" s="1"/>
  <c r="K26" i="8"/>
  <c r="I95" i="8"/>
  <c r="H112" i="8"/>
  <c r="K47" i="8"/>
  <c r="N112" i="8"/>
  <c r="K87" i="8"/>
  <c r="R87" i="8"/>
  <c r="S87" i="8" s="1"/>
  <c r="P112" i="8"/>
  <c r="O22" i="8"/>
  <c r="O112" i="8" s="1"/>
  <c r="I57" i="8"/>
  <c r="R49" i="8"/>
  <c r="S49" i="8" s="1"/>
  <c r="K49" i="8"/>
  <c r="R56" i="8"/>
  <c r="S56" i="8" s="1"/>
  <c r="K56" i="8"/>
  <c r="K68" i="8"/>
  <c r="R68" i="8"/>
  <c r="S68" i="8" s="1"/>
  <c r="J95" i="8"/>
  <c r="R59" i="8"/>
  <c r="K59" i="8"/>
  <c r="K62" i="8" s="1"/>
  <c r="R84" i="8"/>
  <c r="K84" i="8"/>
  <c r="R13" i="8"/>
  <c r="S13" i="8" s="1"/>
  <c r="Q112" i="8"/>
  <c r="K89" i="8"/>
  <c r="K106" i="8"/>
  <c r="K25" i="8"/>
  <c r="K32" i="8" s="1"/>
  <c r="K28" i="8"/>
  <c r="K40" i="8"/>
  <c r="K46" i="8"/>
  <c r="K52" i="8"/>
  <c r="K55" i="8"/>
  <c r="K71" i="8"/>
  <c r="K74" i="8"/>
  <c r="K86" i="8"/>
  <c r="K94" i="8"/>
  <c r="K103" i="8"/>
  <c r="K43" i="8"/>
  <c r="K61" i="8"/>
  <c r="K77" i="8"/>
  <c r="K80" i="8"/>
  <c r="K91" i="8"/>
  <c r="K108" i="8"/>
  <c r="K14" i="8"/>
  <c r="K21" i="8"/>
  <c r="R31" i="8"/>
  <c r="S31" i="8" s="1"/>
  <c r="R37" i="8"/>
  <c r="S37" i="8" s="1"/>
  <c r="R43" i="8"/>
  <c r="R67" i="8"/>
  <c r="R77" i="8"/>
  <c r="R97" i="8"/>
  <c r="R100" i="8"/>
  <c r="K67" i="8"/>
  <c r="K69" i="8" s="1"/>
  <c r="R69" i="10" l="1"/>
  <c r="S100" i="10"/>
  <c r="S109" i="10" s="1"/>
  <c r="R109" i="10"/>
  <c r="R95" i="10"/>
  <c r="S84" i="10"/>
  <c r="S95" i="10" s="1"/>
  <c r="J112" i="10"/>
  <c r="R17" i="10"/>
  <c r="S12" i="10"/>
  <c r="S17" i="10" s="1"/>
  <c r="R62" i="10"/>
  <c r="S59" i="10"/>
  <c r="S62" i="10" s="1"/>
  <c r="I112" i="10"/>
  <c r="S77" i="10"/>
  <c r="S82" i="10" s="1"/>
  <c r="R82" i="10"/>
  <c r="K41" i="10"/>
  <c r="K112" i="10" s="1"/>
  <c r="S97" i="10"/>
  <c r="S98" i="10" s="1"/>
  <c r="R98" i="10"/>
  <c r="K57" i="10"/>
  <c r="R57" i="10"/>
  <c r="S43" i="10"/>
  <c r="S57" i="10" s="1"/>
  <c r="R41" i="10"/>
  <c r="S34" i="10"/>
  <c r="S41" i="10" s="1"/>
  <c r="S73" i="10"/>
  <c r="S75" i="10" s="1"/>
  <c r="R75" i="10"/>
  <c r="R22" i="10"/>
  <c r="S19" i="10"/>
  <c r="S22" i="10" s="1"/>
  <c r="K82" i="10"/>
  <c r="R32" i="10"/>
  <c r="S24" i="10"/>
  <c r="S32" i="10" s="1"/>
  <c r="I52" i="9"/>
  <c r="J49" i="9"/>
  <c r="J52" i="9" s="1"/>
  <c r="Q49" i="9"/>
  <c r="Q52" i="9" s="1"/>
  <c r="K75" i="8"/>
  <c r="S59" i="8"/>
  <c r="S62" i="8" s="1"/>
  <c r="R62" i="8"/>
  <c r="R57" i="8"/>
  <c r="S43" i="8"/>
  <c r="S57" i="8" s="1"/>
  <c r="K57" i="8"/>
  <c r="K112" i="8" s="1"/>
  <c r="K95" i="8"/>
  <c r="S19" i="8"/>
  <c r="S22" i="8" s="1"/>
  <c r="R22" i="8"/>
  <c r="S41" i="8"/>
  <c r="S67" i="8"/>
  <c r="S69" i="8" s="1"/>
  <c r="R69" i="8"/>
  <c r="I112" i="8"/>
  <c r="K22" i="8"/>
  <c r="S100" i="8"/>
  <c r="S109" i="8" s="1"/>
  <c r="R109" i="8"/>
  <c r="R32" i="8"/>
  <c r="S77" i="8"/>
  <c r="S82" i="8" s="1"/>
  <c r="R82" i="8"/>
  <c r="K82" i="8"/>
  <c r="S84" i="8"/>
  <c r="S95" i="8" s="1"/>
  <c r="R95" i="8"/>
  <c r="S32" i="8"/>
  <c r="S97" i="8"/>
  <c r="S98" i="8" s="1"/>
  <c r="R98" i="8"/>
  <c r="R17" i="8"/>
  <c r="S12" i="8"/>
  <c r="S17" i="8" s="1"/>
  <c r="R41" i="8"/>
  <c r="R112" i="10" l="1"/>
  <c r="S112" i="10"/>
  <c r="R112" i="8"/>
  <c r="S112" i="8"/>
  <c r="N49" i="7" l="1"/>
  <c r="N52" i="7" s="1"/>
  <c r="M49" i="7"/>
  <c r="M52" i="7" s="1"/>
  <c r="L49" i="7"/>
  <c r="K49" i="7"/>
  <c r="G49" i="7"/>
  <c r="G52" i="7" s="1"/>
  <c r="P48" i="7"/>
  <c r="Q48" i="7" s="1"/>
  <c r="J48" i="7"/>
  <c r="I48" i="7"/>
  <c r="H48" i="7"/>
  <c r="I47" i="7"/>
  <c r="H47" i="7"/>
  <c r="P47" i="7" s="1"/>
  <c r="Q47" i="7" s="1"/>
  <c r="O46" i="7"/>
  <c r="I46" i="7"/>
  <c r="H46" i="7"/>
  <c r="P46" i="7" s="1"/>
  <c r="Q46" i="7" s="1"/>
  <c r="P45" i="7"/>
  <c r="Q45" i="7" s="1"/>
  <c r="J45" i="7"/>
  <c r="I45" i="7"/>
  <c r="H45" i="7"/>
  <c r="I44" i="7"/>
  <c r="H44" i="7"/>
  <c r="P44" i="7" s="1"/>
  <c r="Q44" i="7" s="1"/>
  <c r="I43" i="7"/>
  <c r="J43" i="7" s="1"/>
  <c r="H43" i="7"/>
  <c r="P43" i="7" s="1"/>
  <c r="Q43" i="7" s="1"/>
  <c r="O42" i="7"/>
  <c r="P42" i="7" s="1"/>
  <c r="Q42" i="7" s="1"/>
  <c r="J42" i="7"/>
  <c r="I42" i="7"/>
  <c r="H42" i="7"/>
  <c r="I41" i="7"/>
  <c r="H41" i="7"/>
  <c r="P41" i="7" s="1"/>
  <c r="Q41" i="7" s="1"/>
  <c r="I40" i="7"/>
  <c r="J40" i="7" s="1"/>
  <c r="H40" i="7"/>
  <c r="P40" i="7" s="1"/>
  <c r="Q40" i="7" s="1"/>
  <c r="O39" i="7"/>
  <c r="P39" i="7" s="1"/>
  <c r="Q39" i="7" s="1"/>
  <c r="J39" i="7"/>
  <c r="I39" i="7"/>
  <c r="H39" i="7"/>
  <c r="I38" i="7"/>
  <c r="H38" i="7"/>
  <c r="P38" i="7" s="1"/>
  <c r="Q38" i="7" s="1"/>
  <c r="I37" i="7"/>
  <c r="J37" i="7" s="1"/>
  <c r="H37" i="7"/>
  <c r="P37" i="7" s="1"/>
  <c r="Q37" i="7" s="1"/>
  <c r="O36" i="7"/>
  <c r="P36" i="7" s="1"/>
  <c r="Q36" i="7" s="1"/>
  <c r="J36" i="7"/>
  <c r="I36" i="7"/>
  <c r="H36" i="7"/>
  <c r="I35" i="7"/>
  <c r="H35" i="7"/>
  <c r="P35" i="7" s="1"/>
  <c r="Q35" i="7" s="1"/>
  <c r="I34" i="7"/>
  <c r="J34" i="7" s="1"/>
  <c r="H34" i="7"/>
  <c r="P34" i="7" s="1"/>
  <c r="Q34" i="7" s="1"/>
  <c r="I33" i="7"/>
  <c r="J33" i="7" s="1"/>
  <c r="H33" i="7"/>
  <c r="I32" i="7"/>
  <c r="H32" i="7"/>
  <c r="P32" i="7" s="1"/>
  <c r="Q32" i="7" s="1"/>
  <c r="P31" i="7"/>
  <c r="Q31" i="7" s="1"/>
  <c r="I31" i="7"/>
  <c r="H31" i="7"/>
  <c r="J31" i="7" s="1"/>
  <c r="I30" i="7"/>
  <c r="H30" i="7"/>
  <c r="P30" i="7" s="1"/>
  <c r="Q30" i="7" s="1"/>
  <c r="I29" i="7"/>
  <c r="H29" i="7"/>
  <c r="P29" i="7" s="1"/>
  <c r="Q29" i="7" s="1"/>
  <c r="O28" i="7"/>
  <c r="P28" i="7" s="1"/>
  <c r="Q28" i="7" s="1"/>
  <c r="I28" i="7"/>
  <c r="H28" i="7"/>
  <c r="J28" i="7" s="1"/>
  <c r="O27" i="7"/>
  <c r="I27" i="7"/>
  <c r="J27" i="7" s="1"/>
  <c r="H27" i="7"/>
  <c r="I26" i="7"/>
  <c r="H26" i="7"/>
  <c r="P26" i="7" s="1"/>
  <c r="Q26" i="7" s="1"/>
  <c r="P25" i="7"/>
  <c r="Q25" i="7" s="1"/>
  <c r="I25" i="7"/>
  <c r="H25" i="7"/>
  <c r="J25" i="7" s="1"/>
  <c r="O24" i="7"/>
  <c r="O49" i="7" s="1"/>
  <c r="O52" i="7" s="1"/>
  <c r="I24" i="7"/>
  <c r="I49" i="7" s="1"/>
  <c r="H24" i="7"/>
  <c r="H49" i="7" s="1"/>
  <c r="O21" i="7"/>
  <c r="N21" i="7"/>
  <c r="M21" i="7"/>
  <c r="L21" i="7"/>
  <c r="K21" i="7"/>
  <c r="K52" i="7" s="1"/>
  <c r="G21" i="7"/>
  <c r="I20" i="7"/>
  <c r="J20" i="7" s="1"/>
  <c r="H20" i="7"/>
  <c r="P20" i="7" s="1"/>
  <c r="Q20" i="7" s="1"/>
  <c r="I19" i="7"/>
  <c r="H19" i="7"/>
  <c r="P19" i="7" s="1"/>
  <c r="Q19" i="7" s="1"/>
  <c r="P18" i="7"/>
  <c r="Q18" i="7" s="1"/>
  <c r="J18" i="7"/>
  <c r="I18" i="7"/>
  <c r="H18" i="7"/>
  <c r="I17" i="7"/>
  <c r="H17" i="7"/>
  <c r="P17" i="7" s="1"/>
  <c r="Q17" i="7" s="1"/>
  <c r="I16" i="7"/>
  <c r="H16" i="7"/>
  <c r="P16" i="7" s="1"/>
  <c r="Q16" i="7" s="1"/>
  <c r="P15" i="7"/>
  <c r="Q15" i="7" s="1"/>
  <c r="J15" i="7"/>
  <c r="I15" i="7"/>
  <c r="H15" i="7"/>
  <c r="I14" i="7"/>
  <c r="I21" i="7" s="1"/>
  <c r="H14" i="7"/>
  <c r="H21" i="7" s="1"/>
  <c r="I20" i="5"/>
  <c r="I17" i="5"/>
  <c r="I18" i="5"/>
  <c r="I16" i="5"/>
  <c r="O46" i="5"/>
  <c r="O42" i="5"/>
  <c r="O39" i="5"/>
  <c r="O36" i="5"/>
  <c r="O24" i="5"/>
  <c r="O27" i="5"/>
  <c r="O28" i="5"/>
  <c r="H52" i="7" l="1"/>
  <c r="I52" i="7"/>
  <c r="J24" i="7"/>
  <c r="J17" i="7"/>
  <c r="J30" i="7"/>
  <c r="P33" i="7"/>
  <c r="Q33" i="7" s="1"/>
  <c r="J14" i="7"/>
  <c r="P24" i="7"/>
  <c r="P27" i="7"/>
  <c r="Q27" i="7" s="1"/>
  <c r="J35" i="7"/>
  <c r="J38" i="7"/>
  <c r="J41" i="7"/>
  <c r="J44" i="7"/>
  <c r="J47" i="7"/>
  <c r="P14" i="7"/>
  <c r="J19" i="7"/>
  <c r="J26" i="7"/>
  <c r="J32" i="7"/>
  <c r="J16" i="7"/>
  <c r="J29" i="7"/>
  <c r="J46" i="7"/>
  <c r="P49" i="7" l="1"/>
  <c r="Q24" i="7"/>
  <c r="Q49" i="7" s="1"/>
  <c r="J21" i="7"/>
  <c r="J49" i="7"/>
  <c r="J52" i="7" s="1"/>
  <c r="P21" i="7"/>
  <c r="Q14" i="7"/>
  <c r="Q21" i="7" s="1"/>
  <c r="Q52" i="7" l="1"/>
  <c r="P52" i="7"/>
  <c r="N49" i="5" l="1"/>
  <c r="M49" i="5"/>
  <c r="M52" i="5" s="1"/>
  <c r="L49" i="5"/>
  <c r="K49" i="5"/>
  <c r="G49" i="5"/>
  <c r="G52" i="5" s="1"/>
  <c r="I48" i="5"/>
  <c r="H48" i="5"/>
  <c r="J48" i="5" s="1"/>
  <c r="P47" i="5"/>
  <c r="Q47" i="5" s="1"/>
  <c r="J47" i="5"/>
  <c r="I47" i="5"/>
  <c r="H47" i="5"/>
  <c r="I46" i="5"/>
  <c r="H46" i="5"/>
  <c r="P46" i="5" s="1"/>
  <c r="Q46" i="5" s="1"/>
  <c r="I45" i="5"/>
  <c r="H45" i="5"/>
  <c r="J45" i="5" s="1"/>
  <c r="P44" i="5"/>
  <c r="Q44" i="5" s="1"/>
  <c r="J44" i="5"/>
  <c r="I44" i="5"/>
  <c r="H44" i="5"/>
  <c r="I43" i="5"/>
  <c r="H43" i="5"/>
  <c r="J43" i="5" s="1"/>
  <c r="I42" i="5"/>
  <c r="H42" i="5"/>
  <c r="J42" i="5" s="1"/>
  <c r="P41" i="5"/>
  <c r="Q41" i="5" s="1"/>
  <c r="J41" i="5"/>
  <c r="I41" i="5"/>
  <c r="H41" i="5"/>
  <c r="I40" i="5"/>
  <c r="H40" i="5"/>
  <c r="P40" i="5" s="1"/>
  <c r="Q40" i="5" s="1"/>
  <c r="I39" i="5"/>
  <c r="H39" i="5"/>
  <c r="J39" i="5" s="1"/>
  <c r="P38" i="5"/>
  <c r="Q38" i="5" s="1"/>
  <c r="J38" i="5"/>
  <c r="I38" i="5"/>
  <c r="H38" i="5"/>
  <c r="I37" i="5"/>
  <c r="H37" i="5"/>
  <c r="P37" i="5" s="1"/>
  <c r="Q37" i="5" s="1"/>
  <c r="I36" i="5"/>
  <c r="H36" i="5"/>
  <c r="J36" i="5" s="1"/>
  <c r="P35" i="5"/>
  <c r="Q35" i="5" s="1"/>
  <c r="J35" i="5"/>
  <c r="I35" i="5"/>
  <c r="H35" i="5"/>
  <c r="I34" i="5"/>
  <c r="H34" i="5"/>
  <c r="P34" i="5" s="1"/>
  <c r="Q34" i="5" s="1"/>
  <c r="I33" i="5"/>
  <c r="H33" i="5"/>
  <c r="P33" i="5" s="1"/>
  <c r="Q33" i="5" s="1"/>
  <c r="J32" i="5"/>
  <c r="I32" i="5"/>
  <c r="P32" i="5" s="1"/>
  <c r="Q32" i="5" s="1"/>
  <c r="H32" i="5"/>
  <c r="I31" i="5"/>
  <c r="H31" i="5"/>
  <c r="P31" i="5" s="1"/>
  <c r="Q31" i="5" s="1"/>
  <c r="P30" i="5"/>
  <c r="Q30" i="5" s="1"/>
  <c r="I30" i="5"/>
  <c r="H30" i="5"/>
  <c r="J30" i="5" s="1"/>
  <c r="I29" i="5"/>
  <c r="H29" i="5"/>
  <c r="P29" i="5" s="1"/>
  <c r="Q29" i="5" s="1"/>
  <c r="I28" i="5"/>
  <c r="H28" i="5"/>
  <c r="J28" i="5" s="1"/>
  <c r="P27" i="5"/>
  <c r="Q27" i="5" s="1"/>
  <c r="I27" i="5"/>
  <c r="H27" i="5"/>
  <c r="J27" i="5" s="1"/>
  <c r="I26" i="5"/>
  <c r="P26" i="5" s="1"/>
  <c r="Q26" i="5" s="1"/>
  <c r="H26" i="5"/>
  <c r="I25" i="5"/>
  <c r="H25" i="5"/>
  <c r="P25" i="5" s="1"/>
  <c r="Q25" i="5" s="1"/>
  <c r="P24" i="5"/>
  <c r="O49" i="5"/>
  <c r="O52" i="5" s="1"/>
  <c r="I24" i="5"/>
  <c r="H24" i="5"/>
  <c r="J24" i="5" s="1"/>
  <c r="O21" i="5"/>
  <c r="N21" i="5"/>
  <c r="M21" i="5"/>
  <c r="L21" i="5"/>
  <c r="K21" i="5"/>
  <c r="G21" i="5"/>
  <c r="H20" i="5"/>
  <c r="P20" i="5" s="1"/>
  <c r="Q20" i="5" s="1"/>
  <c r="I19" i="5"/>
  <c r="P19" i="5" s="1"/>
  <c r="Q19" i="5" s="1"/>
  <c r="H19" i="5"/>
  <c r="H18" i="5"/>
  <c r="P18" i="5" s="1"/>
  <c r="Q18" i="5" s="1"/>
  <c r="P17" i="5"/>
  <c r="Q17" i="5" s="1"/>
  <c r="H17" i="5"/>
  <c r="J17" i="5" s="1"/>
  <c r="I21" i="5"/>
  <c r="H16" i="5"/>
  <c r="J16" i="5" s="1"/>
  <c r="I15" i="5"/>
  <c r="H15" i="5"/>
  <c r="P15" i="5" s="1"/>
  <c r="Q15" i="5" s="1"/>
  <c r="P14" i="5"/>
  <c r="J14" i="5"/>
  <c r="I14" i="5"/>
  <c r="H14" i="5"/>
  <c r="K71" i="4"/>
  <c r="K78" i="4"/>
  <c r="K79" i="4"/>
  <c r="K80" i="4"/>
  <c r="K81" i="4"/>
  <c r="K90" i="4"/>
  <c r="J98" i="4"/>
  <c r="J84" i="4"/>
  <c r="J77" i="4"/>
  <c r="J43" i="4"/>
  <c r="J34" i="4"/>
  <c r="J24" i="4"/>
  <c r="J19" i="4"/>
  <c r="J12" i="4"/>
  <c r="K52" i="5" l="1"/>
  <c r="N52" i="5"/>
  <c r="J19" i="5"/>
  <c r="Q24" i="5"/>
  <c r="Q14" i="5"/>
  <c r="J34" i="5"/>
  <c r="J40" i="5"/>
  <c r="J15" i="5"/>
  <c r="J21" i="5" s="1"/>
  <c r="J20" i="5"/>
  <c r="P28" i="5"/>
  <c r="Q28" i="5" s="1"/>
  <c r="J33" i="5"/>
  <c r="P45" i="5"/>
  <c r="Q45" i="5" s="1"/>
  <c r="P48" i="5"/>
  <c r="Q48" i="5" s="1"/>
  <c r="H21" i="5"/>
  <c r="J46" i="5"/>
  <c r="I49" i="5"/>
  <c r="I52" i="5" s="1"/>
  <c r="P16" i="5"/>
  <c r="Q16" i="5" s="1"/>
  <c r="J37" i="5"/>
  <c r="P36" i="5"/>
  <c r="Q36" i="5" s="1"/>
  <c r="P39" i="5"/>
  <c r="Q39" i="5" s="1"/>
  <c r="P42" i="5"/>
  <c r="Q42" i="5" s="1"/>
  <c r="J26" i="5"/>
  <c r="H49" i="5"/>
  <c r="J29" i="5"/>
  <c r="J25" i="5"/>
  <c r="J49" i="5" s="1"/>
  <c r="J31" i="5"/>
  <c r="P43" i="5"/>
  <c r="Q43" i="5" s="1"/>
  <c r="J18" i="5"/>
  <c r="H106" i="4"/>
  <c r="L93" i="4"/>
  <c r="M93" i="4"/>
  <c r="N93" i="4"/>
  <c r="O93" i="4"/>
  <c r="P93" i="4"/>
  <c r="Q93" i="4"/>
  <c r="H93" i="4"/>
  <c r="H109" i="4" s="1"/>
  <c r="I92" i="4"/>
  <c r="J92" i="4"/>
  <c r="O13" i="4"/>
  <c r="O16" i="4"/>
  <c r="O19" i="4"/>
  <c r="O20" i="4"/>
  <c r="O30" i="4"/>
  <c r="O29" i="4"/>
  <c r="O25" i="4"/>
  <c r="O55" i="4"/>
  <c r="O53" i="4"/>
  <c r="O51" i="4"/>
  <c r="J52" i="5" l="1"/>
  <c r="Q21" i="5"/>
  <c r="P49" i="5"/>
  <c r="Q49" i="5"/>
  <c r="H52" i="5"/>
  <c r="P21" i="5"/>
  <c r="K92" i="4"/>
  <c r="R92" i="4"/>
  <c r="S92" i="4" s="1"/>
  <c r="Q52" i="5" l="1"/>
  <c r="P52" i="5"/>
  <c r="M109" i="4" l="1"/>
  <c r="Q106" i="4"/>
  <c r="P106" i="4"/>
  <c r="O106" i="4"/>
  <c r="N106" i="4"/>
  <c r="M106" i="4"/>
  <c r="L106" i="4"/>
  <c r="J105" i="4"/>
  <c r="I105" i="4"/>
  <c r="J104" i="4"/>
  <c r="I104" i="4"/>
  <c r="R104" i="4" s="1"/>
  <c r="S104" i="4" s="1"/>
  <c r="J103" i="4"/>
  <c r="K103" i="4" s="1"/>
  <c r="I103" i="4"/>
  <c r="K102" i="4"/>
  <c r="J102" i="4"/>
  <c r="I102" i="4"/>
  <c r="R102" i="4" s="1"/>
  <c r="S102" i="4" s="1"/>
  <c r="J101" i="4"/>
  <c r="I101" i="4"/>
  <c r="J100" i="4"/>
  <c r="I100" i="4"/>
  <c r="K100" i="4" s="1"/>
  <c r="J99" i="4"/>
  <c r="I99" i="4"/>
  <c r="R99" i="4" s="1"/>
  <c r="S99" i="4" s="1"/>
  <c r="I98" i="4"/>
  <c r="Q96" i="4"/>
  <c r="P96" i="4"/>
  <c r="O96" i="4"/>
  <c r="N96" i="4"/>
  <c r="L96" i="4"/>
  <c r="H96" i="4"/>
  <c r="J95" i="4"/>
  <c r="J96" i="4" s="1"/>
  <c r="I95" i="4"/>
  <c r="J91" i="4"/>
  <c r="I91" i="4"/>
  <c r="J90" i="4"/>
  <c r="J93" i="4" s="1"/>
  <c r="I90" i="4"/>
  <c r="I93" i="4" s="1"/>
  <c r="J89" i="4"/>
  <c r="I89" i="4"/>
  <c r="R89" i="4" s="1"/>
  <c r="S89" i="4" s="1"/>
  <c r="J88" i="4"/>
  <c r="I88" i="4"/>
  <c r="K88" i="4" s="1"/>
  <c r="J87" i="4"/>
  <c r="I87" i="4"/>
  <c r="J86" i="4"/>
  <c r="I86" i="4"/>
  <c r="R86" i="4" s="1"/>
  <c r="S86" i="4" s="1"/>
  <c r="J85" i="4"/>
  <c r="I85" i="4"/>
  <c r="R85" i="4" s="1"/>
  <c r="I84" i="4"/>
  <c r="Q82" i="4"/>
  <c r="P82" i="4"/>
  <c r="O82" i="4"/>
  <c r="N82" i="4"/>
  <c r="H82" i="4"/>
  <c r="J81" i="4"/>
  <c r="I81" i="4"/>
  <c r="L82" i="4"/>
  <c r="J80" i="4"/>
  <c r="R80" i="4" s="1"/>
  <c r="S80" i="4" s="1"/>
  <c r="I80" i="4"/>
  <c r="J79" i="4"/>
  <c r="I79" i="4"/>
  <c r="L78" i="4"/>
  <c r="J78" i="4"/>
  <c r="I78" i="4"/>
  <c r="I77" i="4"/>
  <c r="Q75" i="4"/>
  <c r="P75" i="4"/>
  <c r="O75" i="4"/>
  <c r="M75" i="4"/>
  <c r="L75" i="4"/>
  <c r="H75" i="4"/>
  <c r="J74" i="4"/>
  <c r="I74" i="4"/>
  <c r="R74" i="4" s="1"/>
  <c r="S74" i="4" s="1"/>
  <c r="J73" i="4"/>
  <c r="I73" i="4"/>
  <c r="N72" i="4"/>
  <c r="N75" i="4" s="1"/>
  <c r="J72" i="4"/>
  <c r="I72" i="4"/>
  <c r="R72" i="4" s="1"/>
  <c r="S72" i="4" s="1"/>
  <c r="J71" i="4"/>
  <c r="I71" i="4"/>
  <c r="Q69" i="4"/>
  <c r="P69" i="4"/>
  <c r="O69" i="4"/>
  <c r="N69" i="4"/>
  <c r="M69" i="4"/>
  <c r="H69" i="4"/>
  <c r="L68" i="4"/>
  <c r="L69" i="4" s="1"/>
  <c r="J68" i="4"/>
  <c r="I68" i="4"/>
  <c r="K68" i="4" s="1"/>
  <c r="J67" i="4"/>
  <c r="I67" i="4"/>
  <c r="Q65" i="4"/>
  <c r="P65" i="4"/>
  <c r="O65" i="4"/>
  <c r="N65" i="4"/>
  <c r="L65" i="4"/>
  <c r="K65" i="4"/>
  <c r="J65" i="4"/>
  <c r="H65" i="4"/>
  <c r="J64" i="4"/>
  <c r="I64" i="4"/>
  <c r="I65" i="4" s="1"/>
  <c r="Q62" i="4"/>
  <c r="P62" i="4"/>
  <c r="O62" i="4"/>
  <c r="N62" i="4"/>
  <c r="M62" i="4"/>
  <c r="L62" i="4"/>
  <c r="H62" i="4"/>
  <c r="J61" i="4"/>
  <c r="I61" i="4"/>
  <c r="R61" i="4" s="1"/>
  <c r="S61" i="4" s="1"/>
  <c r="J60" i="4"/>
  <c r="I60" i="4"/>
  <c r="R60" i="4" s="1"/>
  <c r="S60" i="4" s="1"/>
  <c r="J59" i="4"/>
  <c r="J62" i="4" s="1"/>
  <c r="I59" i="4"/>
  <c r="Q57" i="4"/>
  <c r="P57" i="4"/>
  <c r="O57" i="4"/>
  <c r="N57" i="4"/>
  <c r="M57" i="4"/>
  <c r="H57" i="4"/>
  <c r="R56" i="4"/>
  <c r="S56" i="4" s="1"/>
  <c r="J56" i="4"/>
  <c r="I56" i="4"/>
  <c r="K56" i="4" s="1"/>
  <c r="J55" i="4"/>
  <c r="I55" i="4"/>
  <c r="R55" i="4" s="1"/>
  <c r="S55" i="4" s="1"/>
  <c r="J54" i="4"/>
  <c r="I54" i="4"/>
  <c r="K54" i="4" s="1"/>
  <c r="J53" i="4"/>
  <c r="I53" i="4"/>
  <c r="J52" i="4"/>
  <c r="I52" i="4"/>
  <c r="J51" i="4"/>
  <c r="I51" i="4"/>
  <c r="L50" i="4"/>
  <c r="J50" i="4"/>
  <c r="I50" i="4"/>
  <c r="J49" i="4"/>
  <c r="I49" i="4"/>
  <c r="K49" i="4" s="1"/>
  <c r="J48" i="4"/>
  <c r="I48" i="4"/>
  <c r="R48" i="4" s="1"/>
  <c r="S48" i="4" s="1"/>
  <c r="L47" i="4"/>
  <c r="J47" i="4"/>
  <c r="I47" i="4"/>
  <c r="J46" i="4"/>
  <c r="I46" i="4"/>
  <c r="J45" i="4"/>
  <c r="I45" i="4"/>
  <c r="J44" i="4"/>
  <c r="K44" i="4" s="1"/>
  <c r="I44" i="4"/>
  <c r="I43" i="4"/>
  <c r="R43" i="4" s="1"/>
  <c r="Q41" i="4"/>
  <c r="P41" i="4"/>
  <c r="O41" i="4"/>
  <c r="N41" i="4"/>
  <c r="M41" i="4"/>
  <c r="H41" i="4"/>
  <c r="J40" i="4"/>
  <c r="I40" i="4"/>
  <c r="R40" i="4" s="1"/>
  <c r="S40" i="4" s="1"/>
  <c r="J39" i="4"/>
  <c r="I39" i="4"/>
  <c r="L38" i="4"/>
  <c r="L41" i="4" s="1"/>
  <c r="J38" i="4"/>
  <c r="I38" i="4"/>
  <c r="J37" i="4"/>
  <c r="K37" i="4" s="1"/>
  <c r="I37" i="4"/>
  <c r="J36" i="4"/>
  <c r="I36" i="4"/>
  <c r="J35" i="4"/>
  <c r="I35" i="4"/>
  <c r="I34" i="4"/>
  <c r="Q32" i="4"/>
  <c r="P32" i="4"/>
  <c r="N32" i="4"/>
  <c r="M32" i="4"/>
  <c r="L32" i="4"/>
  <c r="H32" i="4"/>
  <c r="J31" i="4"/>
  <c r="I31" i="4"/>
  <c r="K31" i="4" s="1"/>
  <c r="J30" i="4"/>
  <c r="I30" i="4"/>
  <c r="R30" i="4" s="1"/>
  <c r="S30" i="4" s="1"/>
  <c r="J29" i="4"/>
  <c r="I29" i="4"/>
  <c r="J28" i="4"/>
  <c r="I28" i="4"/>
  <c r="K28" i="4" s="1"/>
  <c r="J27" i="4"/>
  <c r="I27" i="4"/>
  <c r="K27" i="4" s="1"/>
  <c r="J26" i="4"/>
  <c r="I26" i="4"/>
  <c r="O32" i="4"/>
  <c r="J25" i="4"/>
  <c r="I25" i="4"/>
  <c r="I24" i="4"/>
  <c r="I32" i="4" s="1"/>
  <c r="Q22" i="4"/>
  <c r="P22" i="4"/>
  <c r="O22" i="4"/>
  <c r="N22" i="4"/>
  <c r="M22" i="4"/>
  <c r="L22" i="4"/>
  <c r="H22" i="4"/>
  <c r="J21" i="4"/>
  <c r="I21" i="4"/>
  <c r="J20" i="4"/>
  <c r="I20" i="4"/>
  <c r="I19" i="4"/>
  <c r="Q17" i="4"/>
  <c r="P17" i="4"/>
  <c r="O17" i="4"/>
  <c r="N17" i="4"/>
  <c r="M17" i="4"/>
  <c r="H17" i="4"/>
  <c r="J16" i="4"/>
  <c r="I16" i="4"/>
  <c r="J15" i="4"/>
  <c r="I15" i="4"/>
  <c r="R15" i="4" s="1"/>
  <c r="S15" i="4" s="1"/>
  <c r="K14" i="4"/>
  <c r="J14" i="4"/>
  <c r="I14" i="4"/>
  <c r="L13" i="4"/>
  <c r="L17" i="4" s="1"/>
  <c r="J13" i="4"/>
  <c r="I13" i="4"/>
  <c r="I12" i="4"/>
  <c r="R12" i="4" s="1"/>
  <c r="O48" i="1"/>
  <c r="O23" i="1"/>
  <c r="O45" i="1"/>
  <c r="O41" i="1"/>
  <c r="O38" i="1"/>
  <c r="O35" i="1"/>
  <c r="O26" i="1"/>
  <c r="O27" i="1"/>
  <c r="O55" i="2"/>
  <c r="O30" i="2"/>
  <c r="O32" i="2" s="1"/>
  <c r="O16" i="2"/>
  <c r="O29" i="2"/>
  <c r="O53" i="2"/>
  <c r="O51" i="2"/>
  <c r="O13" i="2"/>
  <c r="O25" i="2"/>
  <c r="O19" i="2"/>
  <c r="O20" i="2"/>
  <c r="I75" i="2"/>
  <c r="J75" i="2"/>
  <c r="K75" i="2"/>
  <c r="L75" i="2"/>
  <c r="M75" i="2"/>
  <c r="N75" i="2"/>
  <c r="O75" i="2"/>
  <c r="P75" i="2"/>
  <c r="Q75" i="2"/>
  <c r="R75" i="2"/>
  <c r="S75" i="2"/>
  <c r="I69" i="2"/>
  <c r="J69" i="2"/>
  <c r="K69" i="2"/>
  <c r="L69" i="2"/>
  <c r="M69" i="2"/>
  <c r="N69" i="2"/>
  <c r="O69" i="2"/>
  <c r="P69" i="2"/>
  <c r="Q69" i="2"/>
  <c r="R69" i="2"/>
  <c r="S69" i="2"/>
  <c r="I62" i="2"/>
  <c r="J62" i="2"/>
  <c r="K62" i="2"/>
  <c r="L62" i="2"/>
  <c r="M62" i="2"/>
  <c r="N62" i="2"/>
  <c r="O62" i="2"/>
  <c r="P62" i="2"/>
  <c r="Q62" i="2"/>
  <c r="R62" i="2"/>
  <c r="S62" i="2"/>
  <c r="I57" i="2"/>
  <c r="J57" i="2"/>
  <c r="K57" i="2"/>
  <c r="L57" i="2"/>
  <c r="M57" i="2"/>
  <c r="N57" i="2"/>
  <c r="O57" i="2"/>
  <c r="P57" i="2"/>
  <c r="Q57" i="2"/>
  <c r="I41" i="2"/>
  <c r="J41" i="2"/>
  <c r="K41" i="2"/>
  <c r="L41" i="2"/>
  <c r="M41" i="2"/>
  <c r="N41" i="2"/>
  <c r="O41" i="2"/>
  <c r="P41" i="2"/>
  <c r="Q41" i="2"/>
  <c r="R41" i="2"/>
  <c r="S41" i="2"/>
  <c r="I32" i="2"/>
  <c r="J32" i="2"/>
  <c r="K32" i="2"/>
  <c r="L32" i="2"/>
  <c r="M32" i="2"/>
  <c r="N32" i="2"/>
  <c r="P32" i="2"/>
  <c r="Q32" i="2"/>
  <c r="I22" i="2"/>
  <c r="J22" i="2"/>
  <c r="K22" i="2"/>
  <c r="L22" i="2"/>
  <c r="M22" i="2"/>
  <c r="N22" i="2"/>
  <c r="O22" i="2"/>
  <c r="P22" i="2"/>
  <c r="Q22" i="2"/>
  <c r="I17" i="2"/>
  <c r="J17" i="2"/>
  <c r="K17" i="2"/>
  <c r="L17" i="2"/>
  <c r="M17" i="2"/>
  <c r="N17" i="2"/>
  <c r="P17" i="2"/>
  <c r="Q17" i="2"/>
  <c r="H62" i="2"/>
  <c r="H41" i="2"/>
  <c r="H57" i="2"/>
  <c r="H17" i="2"/>
  <c r="H22" i="2"/>
  <c r="H32" i="2"/>
  <c r="N72" i="2"/>
  <c r="R90" i="4" l="1"/>
  <c r="S90" i="4" s="1"/>
  <c r="R37" i="4"/>
  <c r="S37" i="4" s="1"/>
  <c r="R101" i="4"/>
  <c r="S101" i="4" s="1"/>
  <c r="R31" i="4"/>
  <c r="S31" i="4" s="1"/>
  <c r="J41" i="4"/>
  <c r="K40" i="4"/>
  <c r="R16" i="4"/>
  <c r="S16" i="4" s="1"/>
  <c r="R19" i="4"/>
  <c r="R22" i="4" s="1"/>
  <c r="R25" i="4"/>
  <c r="S25" i="4" s="1"/>
  <c r="R35" i="4"/>
  <c r="S35" i="4" s="1"/>
  <c r="R38" i="4"/>
  <c r="S38" i="4" s="1"/>
  <c r="L57" i="4"/>
  <c r="K74" i="4"/>
  <c r="R105" i="4"/>
  <c r="S105" i="4" s="1"/>
  <c r="R95" i="4"/>
  <c r="S95" i="4" s="1"/>
  <c r="S96" i="4" s="1"/>
  <c r="R26" i="4"/>
  <c r="S26" i="4" s="1"/>
  <c r="R45" i="4"/>
  <c r="S45" i="4" s="1"/>
  <c r="R52" i="4"/>
  <c r="S52" i="4" s="1"/>
  <c r="K72" i="4"/>
  <c r="R78" i="4"/>
  <c r="S78" i="4" s="1"/>
  <c r="R81" i="4"/>
  <c r="S81" i="4" s="1"/>
  <c r="K98" i="4"/>
  <c r="K50" i="4"/>
  <c r="R59" i="4"/>
  <c r="S59" i="4" s="1"/>
  <c r="S62" i="4" s="1"/>
  <c r="K26" i="4"/>
  <c r="R46" i="4"/>
  <c r="S46" i="4" s="1"/>
  <c r="K53" i="4"/>
  <c r="R73" i="4"/>
  <c r="S73" i="4" s="1"/>
  <c r="R103" i="4"/>
  <c r="S103" i="4" s="1"/>
  <c r="R88" i="4"/>
  <c r="S88" i="4" s="1"/>
  <c r="S85" i="4"/>
  <c r="K85" i="4"/>
  <c r="P109" i="4"/>
  <c r="I17" i="4"/>
  <c r="R20" i="4"/>
  <c r="S20" i="4" s="1"/>
  <c r="R28" i="4"/>
  <c r="S28" i="4" s="1"/>
  <c r="R50" i="4"/>
  <c r="S50" i="4" s="1"/>
  <c r="R53" i="4"/>
  <c r="S53" i="4" s="1"/>
  <c r="I62" i="4"/>
  <c r="R79" i="4"/>
  <c r="S79" i="4" s="1"/>
  <c r="J22" i="4"/>
  <c r="I69" i="4"/>
  <c r="I82" i="4"/>
  <c r="R14" i="4"/>
  <c r="S14" i="4" s="1"/>
  <c r="N109" i="4"/>
  <c r="K21" i="4"/>
  <c r="R29" i="4"/>
  <c r="S29" i="4" s="1"/>
  <c r="R34" i="4"/>
  <c r="S34" i="4" s="1"/>
  <c r="R51" i="4"/>
  <c r="S51" i="4" s="1"/>
  <c r="K59" i="4"/>
  <c r="J69" i="4"/>
  <c r="K77" i="4"/>
  <c r="K82" i="4" s="1"/>
  <c r="R91" i="4"/>
  <c r="S91" i="4" s="1"/>
  <c r="K99" i="4"/>
  <c r="K105" i="4"/>
  <c r="K15" i="4"/>
  <c r="Q109" i="4"/>
  <c r="K25" i="4"/>
  <c r="R36" i="4"/>
  <c r="S36" i="4" s="1"/>
  <c r="K38" i="4"/>
  <c r="K43" i="4"/>
  <c r="R47" i="4"/>
  <c r="S47" i="4" s="1"/>
  <c r="K52" i="4"/>
  <c r="K55" i="4"/>
  <c r="K60" i="4"/>
  <c r="I75" i="4"/>
  <c r="K86" i="4"/>
  <c r="K89" i="4"/>
  <c r="K95" i="4"/>
  <c r="K96" i="4" s="1"/>
  <c r="R100" i="4"/>
  <c r="S100" i="4" s="1"/>
  <c r="J75" i="4"/>
  <c r="R87" i="4"/>
  <c r="S87" i="4" s="1"/>
  <c r="R98" i="4"/>
  <c r="S98" i="4" s="1"/>
  <c r="S106" i="4" s="1"/>
  <c r="J32" i="4"/>
  <c r="K35" i="4"/>
  <c r="J17" i="4"/>
  <c r="R39" i="4"/>
  <c r="S39" i="4" s="1"/>
  <c r="R44" i="4"/>
  <c r="S44" i="4" s="1"/>
  <c r="K47" i="4"/>
  <c r="I96" i="4"/>
  <c r="I41" i="4"/>
  <c r="R54" i="4"/>
  <c r="S54" i="4" s="1"/>
  <c r="I57" i="4"/>
  <c r="R49" i="4"/>
  <c r="S49" i="4" s="1"/>
  <c r="J57" i="4"/>
  <c r="K46" i="4"/>
  <c r="K34" i="4"/>
  <c r="R21" i="4"/>
  <c r="S21" i="4" s="1"/>
  <c r="S12" i="4"/>
  <c r="S19" i="4"/>
  <c r="S22" i="4" s="1"/>
  <c r="L109" i="4"/>
  <c r="O109" i="4"/>
  <c r="K24" i="4"/>
  <c r="K30" i="4"/>
  <c r="K16" i="4"/>
  <c r="K20" i="4"/>
  <c r="R24" i="4"/>
  <c r="R27" i="4"/>
  <c r="S27" i="4" s="1"/>
  <c r="K36" i="4"/>
  <c r="K39" i="4"/>
  <c r="S43" i="4"/>
  <c r="K45" i="4"/>
  <c r="K48" i="4"/>
  <c r="K61" i="4"/>
  <c r="K67" i="4"/>
  <c r="K69" i="4" s="1"/>
  <c r="R77" i="4"/>
  <c r="K87" i="4"/>
  <c r="K104" i="4"/>
  <c r="K29" i="4"/>
  <c r="K51" i="4"/>
  <c r="R64" i="4"/>
  <c r="R67" i="4"/>
  <c r="K73" i="4"/>
  <c r="K75" i="4" s="1"/>
  <c r="K84" i="4"/>
  <c r="K93" i="4" s="1"/>
  <c r="K91" i="4"/>
  <c r="K101" i="4"/>
  <c r="I106" i="4"/>
  <c r="R71" i="4"/>
  <c r="R13" i="4"/>
  <c r="S13" i="4" s="1"/>
  <c r="K13" i="4"/>
  <c r="K19" i="4"/>
  <c r="R84" i="4"/>
  <c r="J82" i="4"/>
  <c r="R68" i="4"/>
  <c r="S68" i="4" s="1"/>
  <c r="K12" i="4"/>
  <c r="I22" i="4"/>
  <c r="J106" i="4"/>
  <c r="O17" i="2"/>
  <c r="G20" i="1"/>
  <c r="G51" i="1"/>
  <c r="R93" i="4" l="1"/>
  <c r="R62" i="4"/>
  <c r="K62" i="4"/>
  <c r="R96" i="4"/>
  <c r="S41" i="4"/>
  <c r="R57" i="4"/>
  <c r="K57" i="4"/>
  <c r="R41" i="4"/>
  <c r="K17" i="4"/>
  <c r="K106" i="4"/>
  <c r="J109" i="4"/>
  <c r="R106" i="4"/>
  <c r="K41" i="4"/>
  <c r="S57" i="4"/>
  <c r="I109" i="4"/>
  <c r="R82" i="4"/>
  <c r="S77" i="4"/>
  <c r="S82" i="4" s="1"/>
  <c r="K32" i="4"/>
  <c r="R75" i="4"/>
  <c r="S71" i="4"/>
  <c r="S75" i="4" s="1"/>
  <c r="K22" i="4"/>
  <c r="S84" i="4"/>
  <c r="S93" i="4" s="1"/>
  <c r="S67" i="4"/>
  <c r="S69" i="4" s="1"/>
  <c r="R69" i="4"/>
  <c r="R65" i="4"/>
  <c r="S64" i="4"/>
  <c r="S65" i="4" s="1"/>
  <c r="R32" i="4"/>
  <c r="S24" i="4"/>
  <c r="S32" i="4" s="1"/>
  <c r="S17" i="4"/>
  <c r="R17" i="4"/>
  <c r="I93" i="2"/>
  <c r="J93" i="2"/>
  <c r="K93" i="2"/>
  <c r="L93" i="2"/>
  <c r="M93" i="2"/>
  <c r="N93" i="2"/>
  <c r="O93" i="2"/>
  <c r="P93" i="2"/>
  <c r="Q93" i="2"/>
  <c r="H93" i="2"/>
  <c r="M109" i="2"/>
  <c r="Q106" i="2"/>
  <c r="P106" i="2"/>
  <c r="O106" i="2"/>
  <c r="M106" i="2"/>
  <c r="L106" i="2"/>
  <c r="H106" i="2"/>
  <c r="J105" i="2"/>
  <c r="I105" i="2"/>
  <c r="J104" i="2"/>
  <c r="I104" i="2"/>
  <c r="R104" i="2" s="1"/>
  <c r="S104" i="2" s="1"/>
  <c r="J103" i="2"/>
  <c r="I103" i="2"/>
  <c r="K103" i="2" s="1"/>
  <c r="J102" i="2"/>
  <c r="I102" i="2"/>
  <c r="R102" i="2" s="1"/>
  <c r="S102" i="2" s="1"/>
  <c r="J101" i="2"/>
  <c r="I101" i="2"/>
  <c r="J100" i="2"/>
  <c r="I100" i="2"/>
  <c r="J99" i="2"/>
  <c r="I99" i="2"/>
  <c r="R99" i="2" s="1"/>
  <c r="S99" i="2" s="1"/>
  <c r="N106" i="2"/>
  <c r="J98" i="2"/>
  <c r="I98" i="2"/>
  <c r="Q96" i="2"/>
  <c r="P96" i="2"/>
  <c r="O96" i="2"/>
  <c r="N96" i="2"/>
  <c r="L96" i="2"/>
  <c r="I96" i="2"/>
  <c r="H96" i="2"/>
  <c r="J95" i="2"/>
  <c r="I95" i="2"/>
  <c r="J92" i="2"/>
  <c r="I92" i="2"/>
  <c r="J91" i="2"/>
  <c r="R91" i="2" s="1"/>
  <c r="S91" i="2" s="1"/>
  <c r="I91" i="2"/>
  <c r="J90" i="2"/>
  <c r="I90" i="2"/>
  <c r="J89" i="2"/>
  <c r="I89" i="2"/>
  <c r="R89" i="2" s="1"/>
  <c r="S89" i="2" s="1"/>
  <c r="J88" i="2"/>
  <c r="I88" i="2"/>
  <c r="J87" i="2"/>
  <c r="I87" i="2"/>
  <c r="J86" i="2"/>
  <c r="I86" i="2"/>
  <c r="R86" i="2" s="1"/>
  <c r="S86" i="2" s="1"/>
  <c r="J85" i="2"/>
  <c r="I85" i="2"/>
  <c r="J84" i="2"/>
  <c r="I84" i="2"/>
  <c r="Q82" i="2"/>
  <c r="P82" i="2"/>
  <c r="O82" i="2"/>
  <c r="N82" i="2"/>
  <c r="H82" i="2"/>
  <c r="J81" i="2"/>
  <c r="I81" i="2"/>
  <c r="L80" i="2"/>
  <c r="J80" i="2"/>
  <c r="I80" i="2"/>
  <c r="J79" i="2"/>
  <c r="I79" i="2"/>
  <c r="L78" i="2"/>
  <c r="J78" i="2"/>
  <c r="I78" i="2"/>
  <c r="J77" i="2"/>
  <c r="I77" i="2"/>
  <c r="R77" i="2" s="1"/>
  <c r="H75" i="2"/>
  <c r="J74" i="2"/>
  <c r="I74" i="2"/>
  <c r="J73" i="2"/>
  <c r="I73" i="2"/>
  <c r="R73" i="2" s="1"/>
  <c r="S73" i="2" s="1"/>
  <c r="J72" i="2"/>
  <c r="I72" i="2"/>
  <c r="J71" i="2"/>
  <c r="I71" i="2"/>
  <c r="H69" i="2"/>
  <c r="L68" i="2"/>
  <c r="J68" i="2"/>
  <c r="I68" i="2"/>
  <c r="J67" i="2"/>
  <c r="I67" i="2"/>
  <c r="Q65" i="2"/>
  <c r="P65" i="2"/>
  <c r="O65" i="2"/>
  <c r="N65" i="2"/>
  <c r="L65" i="2"/>
  <c r="K65" i="2"/>
  <c r="H65" i="2"/>
  <c r="J64" i="2"/>
  <c r="J65" i="2" s="1"/>
  <c r="I64" i="2"/>
  <c r="R64" i="2" s="1"/>
  <c r="S64" i="2" s="1"/>
  <c r="S65" i="2" s="1"/>
  <c r="J61" i="2"/>
  <c r="I61" i="2"/>
  <c r="J60" i="2"/>
  <c r="I60" i="2"/>
  <c r="J59" i="2"/>
  <c r="I59" i="2"/>
  <c r="J56" i="2"/>
  <c r="I56" i="2"/>
  <c r="R56" i="2" s="1"/>
  <c r="S56" i="2" s="1"/>
  <c r="J55" i="2"/>
  <c r="I55" i="2"/>
  <c r="R55" i="2" s="1"/>
  <c r="S55" i="2" s="1"/>
  <c r="J54" i="2"/>
  <c r="I54" i="2"/>
  <c r="K54" i="2" s="1"/>
  <c r="J53" i="2"/>
  <c r="I53" i="2"/>
  <c r="J52" i="2"/>
  <c r="I52" i="2"/>
  <c r="K52" i="2" s="1"/>
  <c r="J51" i="2"/>
  <c r="I51" i="2"/>
  <c r="L50" i="2"/>
  <c r="J50" i="2"/>
  <c r="I50" i="2"/>
  <c r="R50" i="2" s="1"/>
  <c r="S50" i="2" s="1"/>
  <c r="L49" i="2"/>
  <c r="J49" i="2"/>
  <c r="I49" i="2"/>
  <c r="J48" i="2"/>
  <c r="I48" i="2"/>
  <c r="K48" i="2" s="1"/>
  <c r="L47" i="2"/>
  <c r="J47" i="2"/>
  <c r="I47" i="2"/>
  <c r="J46" i="2"/>
  <c r="I46" i="2"/>
  <c r="J45" i="2"/>
  <c r="I45" i="2"/>
  <c r="R45" i="2" s="1"/>
  <c r="S45" i="2" s="1"/>
  <c r="J44" i="2"/>
  <c r="I44" i="2"/>
  <c r="J43" i="2"/>
  <c r="I43" i="2"/>
  <c r="J40" i="2"/>
  <c r="I40" i="2"/>
  <c r="J39" i="2"/>
  <c r="I39" i="2"/>
  <c r="R39" i="2" s="1"/>
  <c r="S39" i="2" s="1"/>
  <c r="L38" i="2"/>
  <c r="J38" i="2"/>
  <c r="I38" i="2"/>
  <c r="J37" i="2"/>
  <c r="I37" i="2"/>
  <c r="J36" i="2"/>
  <c r="I36" i="2"/>
  <c r="R36" i="2" s="1"/>
  <c r="S36" i="2" s="1"/>
  <c r="J35" i="2"/>
  <c r="I35" i="2"/>
  <c r="R35" i="2" s="1"/>
  <c r="S35" i="2" s="1"/>
  <c r="J34" i="2"/>
  <c r="I34" i="2"/>
  <c r="J31" i="2"/>
  <c r="K31" i="2" s="1"/>
  <c r="I31" i="2"/>
  <c r="J30" i="2"/>
  <c r="I30" i="2"/>
  <c r="K30" i="2" s="1"/>
  <c r="J29" i="2"/>
  <c r="I29" i="2"/>
  <c r="R29" i="2" s="1"/>
  <c r="S29" i="2" s="1"/>
  <c r="J28" i="2"/>
  <c r="I28" i="2"/>
  <c r="R28" i="2" s="1"/>
  <c r="S28" i="2" s="1"/>
  <c r="J27" i="2"/>
  <c r="I27" i="2"/>
  <c r="J26" i="2"/>
  <c r="I26" i="2"/>
  <c r="K26" i="2" s="1"/>
  <c r="J25" i="2"/>
  <c r="I25" i="2"/>
  <c r="R25" i="2" s="1"/>
  <c r="J24" i="2"/>
  <c r="I24" i="2"/>
  <c r="R24" i="2" s="1"/>
  <c r="J21" i="2"/>
  <c r="I21" i="2"/>
  <c r="R21" i="2" s="1"/>
  <c r="S21" i="2" s="1"/>
  <c r="J20" i="2"/>
  <c r="K20" i="2" s="1"/>
  <c r="I20" i="2"/>
  <c r="J19" i="2"/>
  <c r="I19" i="2"/>
  <c r="O109" i="2"/>
  <c r="J16" i="2"/>
  <c r="I16" i="2"/>
  <c r="R16" i="2" s="1"/>
  <c r="S16" i="2" s="1"/>
  <c r="J15" i="2"/>
  <c r="I15" i="2"/>
  <c r="R15" i="2" s="1"/>
  <c r="S15" i="2" s="1"/>
  <c r="J14" i="2"/>
  <c r="I14" i="2"/>
  <c r="K14" i="2" s="1"/>
  <c r="L13" i="2"/>
  <c r="J13" i="2"/>
  <c r="I13" i="2"/>
  <c r="R13" i="2" s="1"/>
  <c r="J12" i="2"/>
  <c r="I12" i="2"/>
  <c r="K12" i="2" s="1"/>
  <c r="O51" i="1"/>
  <c r="N48" i="1"/>
  <c r="N51" i="1" s="1"/>
  <c r="M48" i="1"/>
  <c r="L48" i="1"/>
  <c r="K48" i="1"/>
  <c r="G48" i="1"/>
  <c r="I47" i="1"/>
  <c r="H47" i="1"/>
  <c r="J47" i="1" s="1"/>
  <c r="I46" i="1"/>
  <c r="H46" i="1"/>
  <c r="P46" i="1" s="1"/>
  <c r="Q46" i="1" s="1"/>
  <c r="I45" i="1"/>
  <c r="H45" i="1"/>
  <c r="P45" i="1" s="1"/>
  <c r="Q45" i="1" s="1"/>
  <c r="I44" i="1"/>
  <c r="H44" i="1"/>
  <c r="P44" i="1" s="1"/>
  <c r="Q44" i="1" s="1"/>
  <c r="I43" i="1"/>
  <c r="H43" i="1"/>
  <c r="P43" i="1" s="1"/>
  <c r="Q43" i="1" s="1"/>
  <c r="I42" i="1"/>
  <c r="H42" i="1"/>
  <c r="P42" i="1" s="1"/>
  <c r="Q42" i="1" s="1"/>
  <c r="I41" i="1"/>
  <c r="H41" i="1"/>
  <c r="P41" i="1" s="1"/>
  <c r="Q41" i="1" s="1"/>
  <c r="I40" i="1"/>
  <c r="J40" i="1" s="1"/>
  <c r="H40" i="1"/>
  <c r="I39" i="1"/>
  <c r="H39" i="1"/>
  <c r="J39" i="1" s="1"/>
  <c r="I38" i="1"/>
  <c r="P38" i="1" s="1"/>
  <c r="Q38" i="1" s="1"/>
  <c r="H38" i="1"/>
  <c r="I37" i="1"/>
  <c r="H37" i="1"/>
  <c r="P37" i="1" s="1"/>
  <c r="Q37" i="1" s="1"/>
  <c r="I36" i="1"/>
  <c r="H36" i="1"/>
  <c r="P36" i="1" s="1"/>
  <c r="Q36" i="1" s="1"/>
  <c r="I35" i="1"/>
  <c r="P35" i="1" s="1"/>
  <c r="Q35" i="1" s="1"/>
  <c r="H35" i="1"/>
  <c r="I34" i="1"/>
  <c r="H34" i="1"/>
  <c r="P34" i="1" s="1"/>
  <c r="Q34" i="1" s="1"/>
  <c r="I33" i="1"/>
  <c r="H33" i="1"/>
  <c r="P33" i="1" s="1"/>
  <c r="Q33" i="1" s="1"/>
  <c r="I32" i="1"/>
  <c r="H32" i="1"/>
  <c r="I31" i="1"/>
  <c r="H31" i="1"/>
  <c r="I30" i="1"/>
  <c r="H30" i="1"/>
  <c r="I29" i="1"/>
  <c r="H29" i="1"/>
  <c r="J29" i="1" s="1"/>
  <c r="I28" i="1"/>
  <c r="H28" i="1"/>
  <c r="P28" i="1" s="1"/>
  <c r="Q28" i="1" s="1"/>
  <c r="I27" i="1"/>
  <c r="P27" i="1" s="1"/>
  <c r="Q27" i="1" s="1"/>
  <c r="H27" i="1"/>
  <c r="J27" i="1" s="1"/>
  <c r="I26" i="1"/>
  <c r="H26" i="1"/>
  <c r="P26" i="1" s="1"/>
  <c r="Q26" i="1" s="1"/>
  <c r="I25" i="1"/>
  <c r="H25" i="1"/>
  <c r="P25" i="1" s="1"/>
  <c r="Q25" i="1" s="1"/>
  <c r="I24" i="1"/>
  <c r="H24" i="1"/>
  <c r="I23" i="1"/>
  <c r="H23" i="1"/>
  <c r="O20" i="1"/>
  <c r="N20" i="1"/>
  <c r="L20" i="1"/>
  <c r="K20" i="1"/>
  <c r="M20" i="1"/>
  <c r="I19" i="1"/>
  <c r="H19" i="1"/>
  <c r="I18" i="1"/>
  <c r="H18" i="1"/>
  <c r="I17" i="1"/>
  <c r="H17" i="1"/>
  <c r="J17" i="1" s="1"/>
  <c r="I16" i="1"/>
  <c r="H16" i="1"/>
  <c r="J16" i="1" s="1"/>
  <c r="I15" i="1"/>
  <c r="H15" i="1"/>
  <c r="P15" i="1" s="1"/>
  <c r="Q15" i="1" s="1"/>
  <c r="I14" i="1"/>
  <c r="H14" i="1"/>
  <c r="P14" i="1" s="1"/>
  <c r="K109" i="4" l="1"/>
  <c r="R109" i="4"/>
  <c r="S109" i="4"/>
  <c r="S13" i="2"/>
  <c r="S17" i="2" s="1"/>
  <c r="R17" i="2"/>
  <c r="S25" i="2"/>
  <c r="M51" i="1"/>
  <c r="P109" i="2"/>
  <c r="K15" i="2"/>
  <c r="R48" i="2"/>
  <c r="S48" i="2" s="1"/>
  <c r="R40" i="2"/>
  <c r="S40" i="2" s="1"/>
  <c r="R49" i="2"/>
  <c r="S49" i="2" s="1"/>
  <c r="I65" i="2"/>
  <c r="R87" i="2"/>
  <c r="S87" i="2" s="1"/>
  <c r="R78" i="2"/>
  <c r="S78" i="2" s="1"/>
  <c r="R46" i="2"/>
  <c r="S46" i="2" s="1"/>
  <c r="K90" i="2"/>
  <c r="K27" i="2"/>
  <c r="R37" i="2"/>
  <c r="S37" i="2" s="1"/>
  <c r="R47" i="2"/>
  <c r="S47" i="2" s="1"/>
  <c r="R68" i="2"/>
  <c r="S68" i="2" s="1"/>
  <c r="K100" i="2"/>
  <c r="K51" i="2"/>
  <c r="R34" i="2"/>
  <c r="R44" i="2"/>
  <c r="S44" i="2" s="1"/>
  <c r="K53" i="2"/>
  <c r="K60" i="2"/>
  <c r="R88" i="2"/>
  <c r="S88" i="2" s="1"/>
  <c r="R92" i="2"/>
  <c r="S92" i="2" s="1"/>
  <c r="R95" i="2"/>
  <c r="R101" i="2"/>
  <c r="S101" i="2" s="1"/>
  <c r="R105" i="2"/>
  <c r="S105" i="2" s="1"/>
  <c r="R65" i="2"/>
  <c r="K72" i="2"/>
  <c r="K91" i="2"/>
  <c r="K21" i="2"/>
  <c r="R54" i="2"/>
  <c r="S54" i="2" s="1"/>
  <c r="H109" i="2"/>
  <c r="R52" i="2"/>
  <c r="S52" i="2" s="1"/>
  <c r="R60" i="2"/>
  <c r="S60" i="2" s="1"/>
  <c r="K86" i="2"/>
  <c r="K89" i="2"/>
  <c r="K104" i="2"/>
  <c r="K19" i="2"/>
  <c r="K25" i="2"/>
  <c r="R27" i="2"/>
  <c r="S27" i="2" s="1"/>
  <c r="R30" i="2"/>
  <c r="S30" i="2" s="1"/>
  <c r="K36" i="2"/>
  <c r="K39" i="2"/>
  <c r="K45" i="2"/>
  <c r="R61" i="2"/>
  <c r="S61" i="2" s="1"/>
  <c r="R71" i="2"/>
  <c r="S71" i="2" s="1"/>
  <c r="R74" i="2"/>
  <c r="S74" i="2" s="1"/>
  <c r="J82" i="2"/>
  <c r="R90" i="2"/>
  <c r="S90" i="2" s="1"/>
  <c r="K102" i="2"/>
  <c r="K101" i="2"/>
  <c r="R79" i="2"/>
  <c r="S79" i="2" s="1"/>
  <c r="R19" i="2"/>
  <c r="R31" i="2"/>
  <c r="S31" i="2" s="1"/>
  <c r="L82" i="2"/>
  <c r="L109" i="2" s="1"/>
  <c r="K95" i="2"/>
  <c r="K96" i="2" s="1"/>
  <c r="K88" i="2"/>
  <c r="Q109" i="2"/>
  <c r="K24" i="2"/>
  <c r="K38" i="2"/>
  <c r="R12" i="2"/>
  <c r="R20" i="2"/>
  <c r="R51" i="2"/>
  <c r="R59" i="2"/>
  <c r="R81" i="2"/>
  <c r="S81" i="2" s="1"/>
  <c r="R84" i="2"/>
  <c r="R93" i="2" s="1"/>
  <c r="K87" i="2"/>
  <c r="R98" i="2"/>
  <c r="R100" i="2"/>
  <c r="S100" i="2" s="1"/>
  <c r="K51" i="1"/>
  <c r="P32" i="1"/>
  <c r="Q32" i="1" s="1"/>
  <c r="I20" i="1"/>
  <c r="J19" i="1"/>
  <c r="J23" i="1"/>
  <c r="J30" i="1"/>
  <c r="J43" i="1"/>
  <c r="J46" i="1"/>
  <c r="J35" i="1"/>
  <c r="P18" i="1"/>
  <c r="Q18" i="1" s="1"/>
  <c r="P30" i="1"/>
  <c r="Q30" i="1" s="1"/>
  <c r="P16" i="1"/>
  <c r="Q16" i="1" s="1"/>
  <c r="I48" i="1"/>
  <c r="I51" i="1" s="1"/>
  <c r="J31" i="1"/>
  <c r="J38" i="1"/>
  <c r="S98" i="2"/>
  <c r="R106" i="2"/>
  <c r="S77" i="2"/>
  <c r="S24" i="2"/>
  <c r="N109" i="2"/>
  <c r="S84" i="2"/>
  <c r="S93" i="2" s="1"/>
  <c r="S34" i="2"/>
  <c r="S95" i="2"/>
  <c r="S96" i="2" s="1"/>
  <c r="R96" i="2"/>
  <c r="I82" i="2"/>
  <c r="R72" i="2"/>
  <c r="S72" i="2" s="1"/>
  <c r="R80" i="2"/>
  <c r="S80" i="2" s="1"/>
  <c r="J96" i="2"/>
  <c r="I106" i="2"/>
  <c r="S12" i="2"/>
  <c r="K29" i="2"/>
  <c r="K35" i="2"/>
  <c r="K44" i="2"/>
  <c r="K47" i="2"/>
  <c r="K56" i="2"/>
  <c r="K68" i="2"/>
  <c r="K74" i="2"/>
  <c r="K77" i="2"/>
  <c r="K82" i="2" s="1"/>
  <c r="K85" i="2"/>
  <c r="K99" i="2"/>
  <c r="J106" i="2"/>
  <c r="S19" i="2"/>
  <c r="K50" i="2"/>
  <c r="K59" i="2"/>
  <c r="R85" i="2"/>
  <c r="S85" i="2" s="1"/>
  <c r="K92" i="2"/>
  <c r="R14" i="2"/>
  <c r="S14" i="2" s="1"/>
  <c r="R26" i="2"/>
  <c r="S26" i="2" s="1"/>
  <c r="K37" i="2"/>
  <c r="K40" i="2"/>
  <c r="K46" i="2"/>
  <c r="R53" i="2"/>
  <c r="S53" i="2" s="1"/>
  <c r="K84" i="2"/>
  <c r="K98" i="2"/>
  <c r="R103" i="2"/>
  <c r="S103" i="2" s="1"/>
  <c r="K13" i="2"/>
  <c r="K16" i="2"/>
  <c r="K28" i="2"/>
  <c r="K34" i="2"/>
  <c r="K43" i="2"/>
  <c r="K49" i="2"/>
  <c r="K55" i="2"/>
  <c r="K61" i="2"/>
  <c r="K67" i="2"/>
  <c r="K73" i="2"/>
  <c r="K105" i="2"/>
  <c r="R38" i="2"/>
  <c r="S38" i="2" s="1"/>
  <c r="R43" i="2"/>
  <c r="R67" i="2"/>
  <c r="Q14" i="1"/>
  <c r="J14" i="1"/>
  <c r="P17" i="1"/>
  <c r="Q17" i="1" s="1"/>
  <c r="P19" i="1"/>
  <c r="Q19" i="1" s="1"/>
  <c r="P23" i="1"/>
  <c r="J28" i="1"/>
  <c r="P31" i="1"/>
  <c r="Q31" i="1" s="1"/>
  <c r="J36" i="1"/>
  <c r="P39" i="1"/>
  <c r="Q39" i="1" s="1"/>
  <c r="J44" i="1"/>
  <c r="P47" i="1"/>
  <c r="Q47" i="1" s="1"/>
  <c r="J32" i="1"/>
  <c r="P24" i="1"/>
  <c r="Q24" i="1" s="1"/>
  <c r="J37" i="1"/>
  <c r="P40" i="1"/>
  <c r="Q40" i="1" s="1"/>
  <c r="J26" i="1"/>
  <c r="P29" i="1"/>
  <c r="Q29" i="1" s="1"/>
  <c r="J42" i="1"/>
  <c r="J25" i="1"/>
  <c r="J33" i="1"/>
  <c r="J41" i="1"/>
  <c r="H20" i="1"/>
  <c r="H48" i="1"/>
  <c r="J18" i="1"/>
  <c r="J24" i="1"/>
  <c r="J15" i="1"/>
  <c r="J45" i="1"/>
  <c r="J34" i="1"/>
  <c r="R32" i="2" l="1"/>
  <c r="S32" i="2"/>
  <c r="S51" i="2"/>
  <c r="S57" i="2" s="1"/>
  <c r="R57" i="2"/>
  <c r="S20" i="2"/>
  <c r="S22" i="2" s="1"/>
  <c r="R22" i="2"/>
  <c r="S82" i="2"/>
  <c r="I109" i="2"/>
  <c r="J109" i="2"/>
  <c r="S59" i="2"/>
  <c r="S106" i="2"/>
  <c r="K106" i="2"/>
  <c r="J48" i="1"/>
  <c r="S67" i="2"/>
  <c r="S43" i="2"/>
  <c r="R82" i="2"/>
  <c r="Q23" i="1"/>
  <c r="Q48" i="1" s="1"/>
  <c r="P48" i="1"/>
  <c r="H51" i="1"/>
  <c r="P20" i="1"/>
  <c r="Q20" i="1"/>
  <c r="J20" i="1"/>
  <c r="P51" i="1" l="1"/>
  <c r="S109" i="2"/>
  <c r="K109" i="2"/>
  <c r="J51" i="1"/>
  <c r="R109" i="2"/>
  <c r="Q51" i="1"/>
  <c r="Q53" i="1" s="1"/>
</calcChain>
</file>

<file path=xl/sharedStrings.xml><?xml version="1.0" encoding="utf-8"?>
<sst xmlns="http://schemas.openxmlformats.org/spreadsheetml/2006/main" count="3200" uniqueCount="297">
  <si>
    <t xml:space="preserve">DIRECCION GENERAL DE ALIANZAS PUBLICO PRIVADAS </t>
  </si>
  <si>
    <t xml:space="preserve">NOMINA EMPLEADOS FIJOS 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</si>
  <si>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</si>
  <si>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</si>
  <si>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</si>
  <si>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</si>
  <si>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</si>
  <si>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</si>
  <si>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</si>
  <si>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</si>
  <si>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</si>
  <si>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</si>
  <si>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</si>
  <si>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</si>
  <si>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</si>
  <si>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</si>
  <si>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</si>
  <si>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</si>
  <si>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</si>
  <si>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</si>
  <si>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</si>
  <si>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</si>
  <si>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</si>
  <si>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</si>
  <si>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</si>
  <si>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</si>
  <si>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</si>
  <si>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</si>
  <si>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</si>
  <si>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</si>
  <si>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</si>
  <si>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</si>
  <si>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</si>
  <si>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</si>
  <si>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</si>
  <si>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</si>
  <si>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</si>
  <si>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</si>
  <si>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</si>
  <si>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</si>
  <si>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</si>
  <si>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</si>
  <si>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</si>
  <si>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</si>
  <si>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</si>
  <si>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</si>
  <si>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</si>
  <si>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</si>
  <si>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</si>
  <si>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</si>
  <si>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</si>
  <si>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</si>
  <si>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</si>
  <si>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</si>
  <si>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</si>
  <si>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</si>
  <si>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</si>
  <si>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</si>
  <si>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</si>
  <si>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</si>
  <si>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</si>
  <si>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</si>
  <si>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</si>
  <si>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</si>
  <si>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</si>
  <si>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</si>
  <si>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</si>
  <si>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</si>
  <si>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</si>
  <si>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</si>
  <si>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</si>
  <si>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</si>
  <si>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</si>
  <si>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</si>
  <si>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>GUILLERMO GONZALEZ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</si>
  <si>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</si>
  <si>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</si>
  <si>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</si>
  <si>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</si>
  <si>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</si>
  <si>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</si>
  <si>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</si>
  <si>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</si>
  <si>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</si>
  <si>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</si>
  <si>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</si>
  <si>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</si>
  <si>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</si>
  <si>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</si>
  <si>
    <t>DIRECCIÓN GENERAL DE ALIANZAS PÚBLICO PRIVADAS</t>
  </si>
  <si>
    <t xml:space="preserve">NOMINA DE EMPLEADOS CONTRATADOS </t>
  </si>
  <si>
    <t xml:space="preserve">SEGURIDA SOCIAL </t>
  </si>
  <si>
    <t>FECHA TERMINO</t>
  </si>
  <si>
    <t xml:space="preserve">FUNCIONES </t>
  </si>
  <si>
    <t>AFP</t>
  </si>
  <si>
    <t>SFS</t>
  </si>
  <si>
    <t>ISR</t>
  </si>
  <si>
    <t>PERCAPITA ADICIONAL</t>
  </si>
  <si>
    <t>OTROS DESCUENTOS</t>
  </si>
  <si>
    <t>SEGURO MEDICO</t>
  </si>
  <si>
    <t xml:space="preserve">CREDITO POR GASTOS EDUCATIVOS </t>
  </si>
  <si>
    <t xml:space="preserve">DEPARTAMENTO DE PLANIFICACIÓN Y DESARROLLO </t>
  </si>
  <si>
    <t>23/11/2020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</si>
  <si>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</si>
  <si>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</si>
  <si>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</si>
  <si>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</si>
  <si>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</si>
  <si>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</si>
  <si>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</si>
  <si>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</si>
  <si>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</si>
  <si>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</si>
  <si>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 xml:space="preserve">RAFAEL ARCANGEL LASSIS DE LEON </t>
  </si>
  <si>
    <t>ENC. DE LA DIVISIÓN DE FORMULACIÓN, MONITOREO Y EVALUACION DE PLANES PP</t>
  </si>
  <si>
    <t xml:space="preserve">DIRECCIÓN DE RECURSOS HUMANOS </t>
  </si>
  <si>
    <t xml:space="preserve">WENDY A. NUÑEZ NUÑEZ </t>
  </si>
  <si>
    <t>DIRECTORA DE RECURSOS HUMANOS</t>
  </si>
  <si>
    <t>16/09/2020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</si>
  <si>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</si>
  <si>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</si>
  <si>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</si>
  <si>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</si>
  <si>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SUB-TOTAL</t>
  </si>
  <si>
    <t xml:space="preserve">DIRECCIÓN DE COMUNICACIONES </t>
  </si>
  <si>
    <t>18/08/2020</t>
  </si>
  <si>
    <t>ELAINE KARINA NIVAR HERNANDEZ</t>
  </si>
  <si>
    <t>DIRECTORA DE COMUNICACIONES</t>
  </si>
  <si>
    <t xml:space="preserve">PATRIA IVELISSE REYES RODRIGUEZ </t>
  </si>
  <si>
    <t xml:space="preserve">ENCARGADA DE LA DIVISIÓN DE PRENSA </t>
  </si>
  <si>
    <t xml:space="preserve">DAVID SANTANA </t>
  </si>
  <si>
    <t>ANALISTA DE MEDIOS Y CONTENIDO</t>
  </si>
  <si>
    <t xml:space="preserve">YELISSA DIAZ </t>
  </si>
  <si>
    <t xml:space="preserve">COORDINADORA DE MEDIOS Y CONTENIDOS </t>
  </si>
  <si>
    <t xml:space="preserve">ROMELIO MONTERO SANCHEZ </t>
  </si>
  <si>
    <t xml:space="preserve">FOTOGRAFO </t>
  </si>
  <si>
    <t>KARLA MARIE  FERRERIRO RIJO</t>
  </si>
  <si>
    <t xml:space="preserve">TÉCNICO ADMINISTRATIVA </t>
  </si>
  <si>
    <t xml:space="preserve">AILEEN NOLASCO </t>
  </si>
  <si>
    <t xml:space="preserve"> ANALISTA DE MEDIOS Y CONTENIDOS DIGITALES </t>
  </si>
  <si>
    <t xml:space="preserve">RADHA IRIS CASTILLO </t>
  </si>
  <si>
    <t xml:space="preserve">ASESORA DE PROTOCOLO </t>
  </si>
  <si>
    <t xml:space="preserve">EVENTUAL </t>
  </si>
  <si>
    <t xml:space="preserve"> </t>
  </si>
  <si>
    <t>GREY JOSEFINA PEÑA CABRAL</t>
  </si>
  <si>
    <t>DIRECTORA JURIDICA</t>
  </si>
  <si>
    <t xml:space="preserve">RAISA LIZBETH ABREU PEPEN </t>
  </si>
  <si>
    <t xml:space="preserve">ENCARGARGA DEL DEPARTAMENTO DE  ELABORACIÓN DE DOCUMENTOS LEGALES </t>
  </si>
  <si>
    <t xml:space="preserve">ALEXIS CALDERON </t>
  </si>
  <si>
    <t xml:space="preserve">ANALISTA LEGAL </t>
  </si>
  <si>
    <t xml:space="preserve">FERNANDO JOSE ALCANTARA DURAN </t>
  </si>
  <si>
    <t xml:space="preserve">PARALEGAL </t>
  </si>
  <si>
    <t xml:space="preserve">CORAL CARMONA </t>
  </si>
  <si>
    <t xml:space="preserve">DAYANA PENELOPE ACOSTA RUSSO </t>
  </si>
  <si>
    <t xml:space="preserve">WILFRIDO MEJIA CONSE </t>
  </si>
  <si>
    <t xml:space="preserve">DIRECCIÓN ADMINISTRATIVA Y FINANCIERA </t>
  </si>
  <si>
    <t>CARLOS ELMUDESI</t>
  </si>
  <si>
    <t xml:space="preserve">DIRECTOR ADMINISTRATIVO &amp; FINANCIERO </t>
  </si>
  <si>
    <t xml:space="preserve">JUAN DE LA CRUZ  GONZALEZ BRITO </t>
  </si>
  <si>
    <t xml:space="preserve">ENCARGADO DE CONTABILIDAD </t>
  </si>
  <si>
    <t>26/10/2020</t>
  </si>
  <si>
    <t xml:space="preserve">NOELIA NATALIE PEREZ ABREU </t>
  </si>
  <si>
    <t xml:space="preserve">ANALISTA FINANCIERA </t>
  </si>
  <si>
    <t xml:space="preserve">BIENVENIDA ALTAGRACIA OSORIA RODRIGUEZ </t>
  </si>
  <si>
    <t xml:space="preserve">CONTADORA </t>
  </si>
  <si>
    <t xml:space="preserve">HELEN ARIANA CASTILLO MENDEZ </t>
  </si>
  <si>
    <t xml:space="preserve">OFICIAL DE ATENCIÓN AL CUIDADANO </t>
  </si>
  <si>
    <t xml:space="preserve">CARMEN PAOLA PEÑA COROMINAS </t>
  </si>
  <si>
    <t xml:space="preserve">YOHAN ALCANTARA ALCANTARA </t>
  </si>
  <si>
    <t xml:space="preserve">ANALISTA DE PRESUPUESTO </t>
  </si>
  <si>
    <t xml:space="preserve">DANIELA TORRES ARIZA </t>
  </si>
  <si>
    <t xml:space="preserve">ISABEL ENCARNACIÓN </t>
  </si>
  <si>
    <t xml:space="preserve">MERLY MANUELA TATIS  MARTE </t>
  </si>
  <si>
    <t xml:space="preserve">LISBELIS IRENE ACOSTA VICTORIO </t>
  </si>
  <si>
    <t xml:space="preserve">FRANCHESCA LA PAIX BALCACER </t>
  </si>
  <si>
    <t xml:space="preserve">ISAEL MONTILLA MARTINEZ </t>
  </si>
  <si>
    <t>TÉCNICO ADMINISTRATIVO</t>
  </si>
  <si>
    <t>MARIA LAURA DOMENE</t>
  </si>
  <si>
    <t xml:space="preserve">ANALISTA DE DOCUMENTACIÓN </t>
  </si>
  <si>
    <t xml:space="preserve">COMPRAS Y CONTRATACIONES </t>
  </si>
  <si>
    <t>MARIA DE LOS ANGELES TAVAREZ TAVERAS</t>
  </si>
  <si>
    <t xml:space="preserve">ENCARGADA DEL DEPARTAMENTO DE COMPRAS Y CONTRATACIONES </t>
  </si>
  <si>
    <t xml:space="preserve">LEOMIR DELVALLE PEREZ </t>
  </si>
  <si>
    <t xml:space="preserve">ANALISTA DE COMPRAS Y CONTRATACIONES </t>
  </si>
  <si>
    <t>LAURA CELESTE SIMO</t>
  </si>
  <si>
    <t xml:space="preserve">ACCESO A LA INFORMACIÓN </t>
  </si>
  <si>
    <t>15/05/2021</t>
  </si>
  <si>
    <t>RUDDY RAFAEL RAMOS ROMERO</t>
  </si>
  <si>
    <t>RESPONSABLE DE ACCESO A LA INFORMACIÓN</t>
  </si>
  <si>
    <t xml:space="preserve">DIVISIÓN DE SERVICIOS GENERALES </t>
  </si>
  <si>
    <t xml:space="preserve">HUASCAR RAMÓN RAMIREZ FELIZ </t>
  </si>
  <si>
    <t xml:space="preserve">ENCARGADO  DE LA DIVISIÓN  SERVICIOS GENERALES </t>
  </si>
  <si>
    <t xml:space="preserve">RUTH ESTHER ESTRELLA LEÓN 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</si>
  <si>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</si>
  <si>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</si>
  <si>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</si>
  <si>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</si>
  <si>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>27/1/2024</t>
  </si>
  <si>
    <t xml:space="preserve">CESAR GUERRERO </t>
  </si>
  <si>
    <t>ANALISTA  INFORMÁTICO</t>
  </si>
  <si>
    <t xml:space="preserve">ANGEL EDUARDO PEÑA SANTOS </t>
  </si>
  <si>
    <t>SOPORTE TÉCNICO</t>
  </si>
  <si>
    <t xml:space="preserve">CLAUDIO ESPINOSA GALARZA </t>
  </si>
  <si>
    <t xml:space="preserve">DESARROLLADOR DE SISTEMA </t>
  </si>
  <si>
    <t xml:space="preserve">DIRECCIÓN DE PROMOCIÓN DE ALIANZAS PÚBLICO PRIVADAS 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</si>
  <si>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</si>
  <si>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</si>
  <si>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</si>
  <si>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</si>
  <si>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</si>
  <si>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</si>
  <si>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</si>
  <si>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ANILISTA I DE PROMOCION APP </t>
  </si>
  <si>
    <t xml:space="preserve">RAUL VILADIN  PUJOLS CHANG </t>
  </si>
  <si>
    <t xml:space="preserve">ANALISTA DE PROMOCION APP </t>
  </si>
  <si>
    <t>DIRECCIÓN TÉCNICA</t>
  </si>
  <si>
    <t xml:space="preserve">ELIARDO RAMÓN CAIRO BENOIT </t>
  </si>
  <si>
    <t>DIRECTOR TÉCNICO</t>
  </si>
  <si>
    <t>17/11/2020</t>
  </si>
  <si>
    <t xml:space="preserve">ELBA PATRICIA MÉNDEZ ROSARIO </t>
  </si>
  <si>
    <t xml:space="preserve">ENCARGADA DE ANALISIS Y EVALUACIÓN DE PROYECTOS </t>
  </si>
  <si>
    <t xml:space="preserve">OSCAR REYNALDO MOLINA LAGARES </t>
  </si>
  <si>
    <t xml:space="preserve">SUPERVISOR DE OBRA </t>
  </si>
  <si>
    <t>PAOLA PAREDES</t>
  </si>
  <si>
    <t xml:space="preserve">ANALISTA II DEL DEPARTAMENTO DE ANALISIS Y EVALUACIÓN DE PROYECTOS      </t>
  </si>
  <si>
    <t>27/6/2022</t>
  </si>
  <si>
    <t xml:space="preserve">DIEGO JOSE MEDRANO DORVILLE </t>
  </si>
  <si>
    <t xml:space="preserve">CAMILA LUGO MEDINA </t>
  </si>
  <si>
    <t xml:space="preserve">
ANALISTA I DEL DEPARTAMENTO DE ANTEPROYECTO Y PRESENTACIÓN DE INICIATIVA</t>
  </si>
  <si>
    <t xml:space="preserve">CAMILA AMAIA VASSALLO MONTALVO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</si>
  <si>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</si>
  <si>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</si>
  <si>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</si>
  <si>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</si>
  <si>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 xml:space="preserve">ANALISTA II DEL DEPARTAMENTO DE ANALISIS Y EVALUACION DE PROYECTOS      </t>
  </si>
  <si>
    <t xml:space="preserve">DIVISIÓN DE REGISTRO DE BANCO DE PROYECTOS </t>
  </si>
  <si>
    <t>15/04/2021</t>
  </si>
  <si>
    <t xml:space="preserve">IVANA CABRAL MEJIA </t>
  </si>
  <si>
    <t xml:space="preserve">ENCARGADO DE DIVISIÓN DE REGISTRO Y BANCO DE PROYECTOS </t>
  </si>
  <si>
    <t>DIRECCIÓN DE GESTIÓN Y SUPERVISIÓN</t>
  </si>
  <si>
    <t xml:space="preserve">ALAN JIMENEZ MARTINEZ </t>
  </si>
  <si>
    <t>DIRECCIÓN DE GESTIÓN &amp; SUPERVISION DE CONTRATO</t>
  </si>
  <si>
    <t xml:space="preserve">MAITE MARTINEZ MATEO </t>
  </si>
  <si>
    <t xml:space="preserve">ANALISTA II DEL  DEPARTAMENTO DE ESTRUCTURACION DE PROCESOS COMPETIVOS </t>
  </si>
  <si>
    <t xml:space="preserve">JENNYFER CONTIN DE PINEL </t>
  </si>
  <si>
    <t xml:space="preserve">COORDINADORA DEL  DEP. DE ESTRUCTURACION DE PROCESOS COMPETITIVOS </t>
  </si>
  <si>
    <t>WILLIAM JOSEPH  REID BERMUDEZ</t>
  </si>
  <si>
    <t xml:space="preserve">ANALISTA II DEL  DEPARTAMENTO DE ESTRUCTURACIÓN DE PROCESOS COMPETIVOS </t>
  </si>
  <si>
    <t xml:space="preserve">YESICA SUAREZ </t>
  </si>
  <si>
    <t xml:space="preserve">RALPH RODRIGUEZ </t>
  </si>
  <si>
    <t xml:space="preserve">ANALISTA I DEL  DEPARTAMENTO DE ESTRUCTURACIÓN DE CONTRATOS </t>
  </si>
  <si>
    <t xml:space="preserve">JOSE HERNANDEZ </t>
  </si>
  <si>
    <t xml:space="preserve">TECNICO ADMINISTRATIVO </t>
  </si>
  <si>
    <t>JULISSA MARIA SANCHEZ TEJADA</t>
  </si>
  <si>
    <t xml:space="preserve">ANALISTA DE ESTRUCTURACION DE PROCESOS COMPETITIVOS </t>
  </si>
  <si>
    <t>WENDY NUÑEZ</t>
  </si>
  <si>
    <t>CORRESPONDIENTE AL MES DE ENERO 2024</t>
  </si>
  <si>
    <t>CORRESPONDIENTE AL MES ENERO  2024</t>
  </si>
  <si>
    <t>27/04/2024</t>
  </si>
  <si>
    <t>CORRESPONDIENTE AL MES FEBRERO  2024</t>
  </si>
  <si>
    <t>CORRESPONDIENTE AL MES DE FEBRERO 2024</t>
  </si>
  <si>
    <t>LOURDES JACQUELINE BISONO ESTRELLA</t>
  </si>
  <si>
    <t>COORDINADORA DE DESPACHO</t>
  </si>
  <si>
    <t>01/02//2024</t>
  </si>
  <si>
    <t>KATE ALEXANDRA ALCANTARA DE LA CRUZ</t>
  </si>
  <si>
    <t>CORRESPONDIENTE AL MES MARZO  2024</t>
  </si>
  <si>
    <t>CORRESPONDIENTE AL MES DE MARZO 2024</t>
  </si>
  <si>
    <t>NOMINA EMPLEADOS FIJOS</t>
  </si>
  <si>
    <t>ALTAGRACIA AMALIA DE OLEO MOQUETE</t>
  </si>
  <si>
    <t>ANALISTA DE LA SUBDIRECCION TECNICA</t>
  </si>
  <si>
    <t>SHANTAL BUENO MEDINA</t>
  </si>
  <si>
    <t xml:space="preserve">ANALISTA DEL DEPARTAMENTO DE ANTEPROYECTOS Y PRESENTACION DE INICIATIVAS </t>
  </si>
  <si>
    <t>REYMOND ANTONIO GUZMAN TERRERO</t>
  </si>
  <si>
    <t>ENCARGADO DE LA DIVISION DE GESTION DE PERMISOS</t>
  </si>
  <si>
    <t>CORRESPONDIENTE AL MES ABRIL  2024</t>
  </si>
  <si>
    <t>CORRESPONDIENTE AL MES DE ABRIL 2024</t>
  </si>
  <si>
    <t>CORRESPONDIENTE AL MES DE MAYO 2024</t>
  </si>
  <si>
    <t>CORRESPONDIENTE AL MES MAYO 2024</t>
  </si>
  <si>
    <t>ENCARGADA DE SECCIÓN DE PESUPUESTO</t>
  </si>
  <si>
    <t xml:space="preserve">ANLISTA DE COMUNICACIONES </t>
  </si>
  <si>
    <t xml:space="preserve">ANALISTA DE COMPRAS </t>
  </si>
  <si>
    <t xml:space="preserve">ANALISTA  DE LA DIRECCIÓN TECNICA </t>
  </si>
  <si>
    <t xml:space="preserve">ANALISTA DE ESTRUCTURACIÓN DE PROCESOS COMPETITIVOS </t>
  </si>
  <si>
    <t xml:space="preserve">COORDINADORA DEL  DEP. DE ESTRUCTURACIÓN DE PROCESOS COMPETITIVOS </t>
  </si>
  <si>
    <t xml:space="preserve">ANALISTA DEL DEPARTAMENTO DE ANTEPROYECTOS Y PRESENTACIÓN DE INICIATIVAS </t>
  </si>
  <si>
    <t xml:space="preserve">ANALISTA DE PROMOCIÓN APP </t>
  </si>
  <si>
    <t xml:space="preserve">ANALISTA I DE PROMOCIÓN APP </t>
  </si>
  <si>
    <t xml:space="preserve">ANA LETICIA DURAN ALCANTARA </t>
  </si>
  <si>
    <t>31/11/2024</t>
  </si>
  <si>
    <t>16/11/2024</t>
  </si>
  <si>
    <t>17/8/2024</t>
  </si>
  <si>
    <t>26/8/2024</t>
  </si>
  <si>
    <t>16/8/2024</t>
  </si>
  <si>
    <t>27/7/2024</t>
  </si>
  <si>
    <t>27/10/2024</t>
  </si>
  <si>
    <t>CORRESPONDIENTE AL MES JUNIO 2024</t>
  </si>
  <si>
    <t>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</si>
</sst>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  <font>
      <sz val="16"/>
      <color indexed="8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18"/>
      <color indexed="8"/>
      <name val="Century Gothic"/>
      <family val="2"/>
    </font>
    <font>
      <sz val="8"/>
      <name val="Aptos Narrow"/>
      <family val="2"/>
      <scheme val="minor"/>
    </font>
    <font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69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165" fontId="8" fillId="2" borderId="4" xfId="3" applyNumberFormat="1" applyFont="1" applyFill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4" fillId="0" borderId="0" xfId="1" applyFont="1" applyBorder="1"/>
    <xf numFmtId="0" fontId="15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/>
    </xf>
    <xf numFmtId="43" fontId="17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7" fillId="0" borderId="0" xfId="3" applyFont="1"/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6" fillId="0" borderId="0" xfId="3" applyFont="1" applyAlignment="1">
      <alignment horizontal="center"/>
    </xf>
    <xf numFmtId="43" fontId="16" fillId="0" borderId="0" xfId="1" applyFont="1" applyAlignment="1">
      <alignment wrapText="1"/>
    </xf>
    <xf numFmtId="0" fontId="16" fillId="0" borderId="0" xfId="3" applyFont="1"/>
    <xf numFmtId="43" fontId="16" fillId="0" borderId="0" xfId="1" applyFont="1" applyAlignment="1">
      <alignment horizontal="center" vertical="center" wrapText="1"/>
    </xf>
    <xf numFmtId="4" fontId="17" fillId="0" borderId="0" xfId="3" applyNumberFormat="1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wrapText="1"/>
    </xf>
    <xf numFmtId="44" fontId="18" fillId="0" borderId="0" xfId="3" applyNumberFormat="1" applyFont="1"/>
    <xf numFmtId="0" fontId="8" fillId="2" borderId="4" xfId="3" applyFont="1" applyFill="1" applyBorder="1" applyAlignment="1">
      <alignment horizontal="center"/>
    </xf>
    <xf numFmtId="166" fontId="13" fillId="0" borderId="1" xfId="3" applyNumberFormat="1" applyFont="1" applyBorder="1"/>
    <xf numFmtId="166" fontId="13" fillId="0" borderId="3" xfId="3" applyNumberFormat="1" applyFont="1" applyBorder="1"/>
    <xf numFmtId="166" fontId="13" fillId="0" borderId="2" xfId="3" applyNumberFormat="1" applyFont="1" applyBorder="1"/>
    <xf numFmtId="165" fontId="12" fillId="0" borderId="1" xfId="3" applyNumberFormat="1" applyFont="1" applyBorder="1" applyAlignment="1">
      <alignment horizontal="center"/>
    </xf>
    <xf numFmtId="0" fontId="12" fillId="0" borderId="4" xfId="3" applyFont="1" applyBorder="1" applyAlignment="1">
      <alignment horizontal="right" wrapText="1"/>
    </xf>
    <xf numFmtId="165" fontId="13" fillId="0" borderId="4" xfId="3" applyNumberFormat="1" applyFont="1" applyBorder="1" applyAlignment="1">
      <alignment horizontal="center"/>
    </xf>
    <xf numFmtId="165" fontId="13" fillId="2" borderId="4" xfId="3" applyNumberFormat="1" applyFont="1" applyFill="1" applyBorder="1" applyAlignment="1">
      <alignment horizontal="center"/>
    </xf>
    <xf numFmtId="166" fontId="12" fillId="0" borderId="2" xfId="3" applyNumberFormat="1" applyFont="1" applyBorder="1" applyAlignment="1">
      <alignment horizontal="left"/>
    </xf>
    <xf numFmtId="165" fontId="12" fillId="0" borderId="1" xfId="1" applyNumberFormat="1" applyFont="1" applyBorder="1" applyAlignment="1">
      <alignment horizontal="center"/>
    </xf>
    <xf numFmtId="0" fontId="13" fillId="0" borderId="4" xfId="3" applyFont="1" applyBorder="1" applyAlignment="1">
      <alignment horizontal="left"/>
    </xf>
    <xf numFmtId="165" fontId="13" fillId="0" borderId="1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left"/>
    </xf>
    <xf numFmtId="44" fontId="13" fillId="2" borderId="4" xfId="3" applyNumberFormat="1" applyFont="1" applyFill="1" applyBorder="1" applyAlignment="1">
      <alignment horizontal="center"/>
    </xf>
    <xf numFmtId="166" fontId="12" fillId="0" borderId="1" xfId="3" applyNumberFormat="1" applyFont="1" applyBorder="1" applyAlignment="1">
      <alignment wrapText="1"/>
    </xf>
    <xf numFmtId="166" fontId="12" fillId="0" borderId="4" xfId="3" applyNumberFormat="1" applyFont="1" applyBorder="1" applyAlignment="1">
      <alignment horizontal="center" wrapText="1"/>
    </xf>
    <xf numFmtId="165" fontId="12" fillId="0" borderId="0" xfId="3" applyNumberFormat="1" applyFont="1" applyAlignment="1">
      <alignment horizontal="center"/>
    </xf>
    <xf numFmtId="0" fontId="2" fillId="0" borderId="4" xfId="2" applyFont="1" applyBorder="1"/>
    <xf numFmtId="166" fontId="12" fillId="0" borderId="2" xfId="3" applyNumberFormat="1" applyFont="1" applyBorder="1" applyAlignment="1">
      <alignment horizontal="center"/>
    </xf>
    <xf numFmtId="166" fontId="12" fillId="0" borderId="1" xfId="3" applyNumberFormat="1" applyFont="1" applyBorder="1" applyAlignment="1">
      <alignment horizontal="left"/>
    </xf>
    <xf numFmtId="0" fontId="13" fillId="0" borderId="3" xfId="3" applyFont="1" applyBorder="1" applyAlignment="1">
      <alignment horizontal="left"/>
    </xf>
    <xf numFmtId="165" fontId="13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1" fillId="0" borderId="11" xfId="3" applyFont="1" applyBorder="1" applyAlignment="1">
      <alignment horizontal="left"/>
    </xf>
    <xf numFmtId="0" fontId="12" fillId="0" borderId="12" xfId="3" applyFont="1" applyBorder="1" applyAlignment="1">
      <alignment horizontal="left"/>
    </xf>
    <xf numFmtId="0" fontId="12" fillId="0" borderId="12" xfId="3" applyFont="1" applyBorder="1" applyAlignment="1">
      <alignment horizontal="center"/>
    </xf>
    <xf numFmtId="0" fontId="11" fillId="0" borderId="11" xfId="3" applyFont="1" applyBorder="1"/>
    <xf numFmtId="0" fontId="11" fillId="0" borderId="4" xfId="3" applyFont="1" applyBorder="1"/>
    <xf numFmtId="0" fontId="11" fillId="0" borderId="12" xfId="3" applyFont="1" applyBorder="1"/>
    <xf numFmtId="0" fontId="11" fillId="0" borderId="0" xfId="3" applyFont="1"/>
    <xf numFmtId="0" fontId="11" fillId="0" borderId="8" xfId="3" applyFont="1" applyBorder="1"/>
    <xf numFmtId="165" fontId="12" fillId="0" borderId="2" xfId="3" applyNumberFormat="1" applyFont="1" applyBorder="1" applyAlignment="1">
      <alignment horizontal="center"/>
    </xf>
    <xf numFmtId="0" fontId="11" fillId="0" borderId="3" xfId="3" applyFont="1" applyBorder="1"/>
    <xf numFmtId="166" fontId="13" fillId="0" borderId="4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left" wrapText="1"/>
    </xf>
    <xf numFmtId="166" fontId="12" fillId="0" borderId="3" xfId="3" applyNumberFormat="1" applyFont="1" applyBorder="1" applyAlignment="1">
      <alignment horizontal="left" wrapText="1"/>
    </xf>
    <xf numFmtId="165" fontId="13" fillId="2" borderId="5" xfId="3" applyNumberFormat="1" applyFont="1" applyFill="1" applyBorder="1" applyAlignment="1">
      <alignment horizontal="center"/>
    </xf>
    <xf numFmtId="165" fontId="13" fillId="2" borderId="9" xfId="3" applyNumberFormat="1" applyFont="1" applyFill="1" applyBorder="1" applyAlignment="1">
      <alignment horizontal="center"/>
    </xf>
    <xf numFmtId="0" fontId="12" fillId="0" borderId="1" xfId="3" applyFont="1" applyBorder="1" applyAlignment="1">
      <alignment horizontal="left"/>
    </xf>
    <xf numFmtId="0" fontId="2" fillId="0" borderId="13" xfId="2" applyFont="1" applyBorder="1"/>
    <xf numFmtId="0" fontId="2" fillId="0" borderId="14" xfId="2" applyFont="1" applyBorder="1"/>
    <xf numFmtId="0" fontId="2" fillId="0" borderId="15" xfId="2" applyFont="1" applyBorder="1"/>
    <xf numFmtId="165" fontId="12" fillId="0" borderId="8" xfId="1" applyNumberFormat="1" applyFont="1" applyFill="1" applyBorder="1" applyAlignment="1">
      <alignment horizontal="center"/>
    </xf>
    <xf numFmtId="165" fontId="12" fillId="0" borderId="11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 wrapText="1"/>
    </xf>
    <xf numFmtId="0" fontId="12" fillId="0" borderId="2" xfId="3" applyFont="1" applyBorder="1" applyAlignment="1">
      <alignment horizontal="center"/>
    </xf>
    <xf numFmtId="165" fontId="12" fillId="0" borderId="1" xfId="1" applyNumberFormat="1" applyFont="1" applyFill="1" applyBorder="1" applyAlignment="1">
      <alignment horizontal="center"/>
    </xf>
    <xf numFmtId="43" fontId="19" fillId="0" borderId="0" xfId="1" applyFont="1"/>
    <xf numFmtId="165" fontId="20" fillId="0" borderId="0" xfId="3" applyNumberFormat="1" applyFont="1"/>
    <xf numFmtId="43" fontId="14" fillId="0" borderId="0" xfId="1" applyFont="1"/>
    <xf numFmtId="165" fontId="5" fillId="0" borderId="0" xfId="1" applyNumberFormat="1" applyFont="1"/>
    <xf numFmtId="44" fontId="16" fillId="0" borderId="0" xfId="3" applyNumberFormat="1" applyFont="1" applyAlignment="1">
      <alignment horizontal="center" vertical="center" wrapText="1"/>
    </xf>
    <xf numFmtId="43" fontId="17" fillId="0" borderId="0" xfId="1" applyFont="1" applyAlignment="1">
      <alignment horizontal="center"/>
    </xf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43" fontId="21" fillId="0" borderId="0" xfId="1" applyFont="1"/>
    <xf numFmtId="43" fontId="23" fillId="0" borderId="0" xfId="1" applyFont="1"/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left"/>
    </xf>
    <xf numFmtId="166" fontId="13" fillId="0" borderId="2" xfId="3" applyNumberFormat="1" applyFont="1" applyBorder="1" applyAlignment="1">
      <alignment horizontal="left"/>
    </xf>
    <xf numFmtId="0" fontId="11" fillId="0" borderId="5" xfId="3" applyFont="1" applyBorder="1" applyAlignment="1">
      <alignment horizontal="center"/>
    </xf>
    <xf numFmtId="0" fontId="11" fillId="0" borderId="8" xfId="3" applyFont="1" applyBorder="1" applyAlignment="1">
      <alignment horizontal="center"/>
    </xf>
    <xf numFmtId="166" fontId="12" fillId="0" borderId="9" xfId="3" applyNumberFormat="1" applyFont="1" applyBorder="1" applyAlignment="1">
      <alignment horizontal="center"/>
    </xf>
    <xf numFmtId="166" fontId="12" fillId="0" borderId="6" xfId="3" applyNumberFormat="1" applyFont="1" applyBorder="1" applyAlignment="1">
      <alignment horizontal="center"/>
    </xf>
    <xf numFmtId="166" fontId="12" fillId="0" borderId="7" xfId="3" applyNumberFormat="1" applyFont="1" applyBorder="1" applyAlignment="1">
      <alignment horizontal="center"/>
    </xf>
    <xf numFmtId="166" fontId="12" fillId="0" borderId="11" xfId="3" applyNumberFormat="1" applyFont="1" applyBorder="1" applyAlignment="1">
      <alignment horizontal="center"/>
    </xf>
    <xf numFmtId="166" fontId="12" fillId="0" borderId="12" xfId="3" applyNumberFormat="1" applyFont="1" applyBorder="1" applyAlignment="1">
      <alignment horizontal="center"/>
    </xf>
    <xf numFmtId="166" fontId="12" fillId="0" borderId="10" xfId="3" applyNumberFormat="1" applyFont="1" applyBorder="1" applyAlignment="1">
      <alignment horizontal="center"/>
    </xf>
    <xf numFmtId="166" fontId="13" fillId="0" borderId="6" xfId="3" applyNumberFormat="1" applyFont="1" applyBorder="1" applyAlignment="1">
      <alignment horizontal="left"/>
    </xf>
  </cellXfs>
  <cellStyles count="5">
    <cellStyle name="Millares" xfId="1" builtinId="3"/>
    <cellStyle name="Normal" xfId="0" builtinId="0"/>
    <cellStyle name="Normal 2" xfId="2" xr:uid="{DFF0A686-7AA5-4B4B-9F69-AC598EFE3727}"/>
    <cellStyle name="Normal_Hoja1" xfId="3" xr:uid="{51618AEE-F2A1-460A-B491-467A98DB6507}"/>
    <cellStyle name="Normal_Nomina" xfId="4" xr:uid="{DD6557E4-D8FE-404B-AE78-4CA4BB7AA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51</xdr:row>
      <xdr:rowOff>114300</xdr:rowOff>
    </xdr:from>
    <xdr:to>
      <xdr:col>10</xdr:col>
      <xdr:colOff>1371600</xdr:colOff>
      <xdr:row>54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BA68CC-12F6-47AE-99C4-CD0EAA46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0" y="28117800"/>
          <a:ext cx="5114925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51</xdr:row>
      <xdr:rowOff>91440</xdr:rowOff>
    </xdr:from>
    <xdr:to>
      <xdr:col>5</xdr:col>
      <xdr:colOff>0</xdr:colOff>
      <xdr:row>54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E95EC8-AA7D-450E-B331-E32CC395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8098750"/>
          <a:ext cx="5829300" cy="148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51</xdr:row>
      <xdr:rowOff>342900</xdr:rowOff>
    </xdr:from>
    <xdr:to>
      <xdr:col>6</xdr:col>
      <xdr:colOff>3444240</xdr:colOff>
      <xdr:row>61</xdr:row>
      <xdr:rowOff>22859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842B7D-A284-47BA-A26E-DB116B7F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8346400"/>
          <a:ext cx="5339715" cy="473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4E6596-DF84-42F9-8DE1-A95887341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" y="720090"/>
          <a:ext cx="5934588" cy="23441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278FB9E2-DB14-470E-AFA0-3F6B78887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113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7C10347D-F5E7-4E04-9B19-7DE05A8C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50" y="63158370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113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29FF5A2D-9980-422F-BDC6-21B33055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3143" y="63281462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113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C3088F41-78B8-4F6C-BF35-98B978FCA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74860" y="63089790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FAD613-AE5A-43DD-A20E-247333452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0" y="28094940"/>
          <a:ext cx="5105400" cy="133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A4A634-2609-4229-8493-59A8F65F7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8072080"/>
          <a:ext cx="5829300" cy="147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682816-A531-4263-98A2-19A1F5D8E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1680" y="28323540"/>
          <a:ext cx="53340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AEE699-A342-4EBF-A28A-3AF915B73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0090"/>
          <a:ext cx="5928873" cy="23403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CF95E51E-B0E3-489F-8E95-D902B603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6780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112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951D5EA4-FB42-4F51-889B-CBBDF9CB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8540" y="64145160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112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FC0E6B36-816E-48A7-BCB4-BE4A66275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1808" y="64268252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112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37806048-E9C2-4FED-BE37-19B53EB7E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7360" y="64076580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4C0499F9-C85F-47A8-B3A8-C1D46BEF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487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109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645B9477-C9FB-4B08-BE76-C9E64C096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63065025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109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4D049578-BD41-40C7-8CEB-DF5EA991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9428" y="63190022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109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3FD45D64-8943-46FF-ABE9-9F044E479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33075" y="62998350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62B27C-7321-49A0-90FD-D89CAA522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7160" y="28155900"/>
          <a:ext cx="494919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619CA2-3567-4C1C-B383-BBDE1E9D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28133040"/>
          <a:ext cx="5667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068A71-914C-4D35-A92D-F45290E8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9705" y="28384500"/>
          <a:ext cx="5261610" cy="473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8E710C-FF52-40B9-9E2A-EAF048FEB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3CAB346C-361C-4312-B43C-7363F40F1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109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5711CD2F-7173-4679-A5C9-AF5EDEEE3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50" y="60843795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109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E1C25964-7186-4664-902C-1347A82C7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3143" y="60966887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109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476F330E-DB7B-4552-8368-D2BEC206E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74860" y="60775215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CFCFAD-5B1E-43D3-8AA5-0EE6461AE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7160" y="28155900"/>
          <a:ext cx="494919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1D848A-06CC-4399-B35E-D5E296307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28133040"/>
          <a:ext cx="5667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5AB174-1F19-489A-B206-9F4EBAA35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9705" y="28384500"/>
          <a:ext cx="5261610" cy="473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EEFDD3E-9901-4E68-BCA7-7B63BF18A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C425DBEB-2D86-4D79-A1B8-7C8751054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112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2D369957-962B-45F5-9087-8FCD2C7D7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50" y="63158370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112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334E9238-6F84-4C7B-ABC0-9A4226A9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3143" y="63281462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112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364EC41F-A5EC-4D01-9B61-A4B0F8B79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74860" y="63089790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1E0500-D146-4007-AF1F-04767E4A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0" y="28094940"/>
          <a:ext cx="5105400" cy="133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0E0D3-EB1D-4FA7-99F8-3F315603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8072080"/>
          <a:ext cx="5829300" cy="147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4765E6-CC9D-495F-A7FA-99D76FF45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1680" y="28323540"/>
          <a:ext cx="53340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D91E3DA-CFDC-43A5-B8C9-210AD7F9F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0090"/>
          <a:ext cx="5928873" cy="23403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62DBD649-5C8B-4379-8194-B10077D5B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6780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112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0EC1329C-6B67-4E17-9CDF-03E4B816E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8540" y="63672720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112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644389E9-3A29-4E3F-A85D-6743203A6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1808" y="63795812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112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D9EAB99B-33A9-464F-89B6-E96BFE64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7360" y="63604140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5FDFC5-60E2-4BDC-8605-DD1EB2F0A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7160" y="28155900"/>
          <a:ext cx="494919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805FF7-1D0A-4CDB-BAA3-00959E8A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28133040"/>
          <a:ext cx="5667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3444240</xdr:colOff>
      <xdr:row>62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0ACFE8-0193-4EE7-95BB-A2C82904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9705" y="28384500"/>
          <a:ext cx="5261610" cy="473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6B582D3-AB98-4E7B-B204-5E1B11015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ED13-001A-453A-96D3-139F346734C2}">
  <sheetPr>
    <pageSetUpPr fitToPage="1"/>
  </sheetPr>
  <dimension ref="A1:Q63"/>
  <sheetViews>
    <sheetView showGridLines="0" topLeftCell="D1" zoomScale="40" zoomScaleNormal="40" zoomScaleSheetLayoutView="30" workbookViewId="0">
      <selection activeCell="O51" sqref="O51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5">
      <c r="C4" s="2"/>
      <c r="D4" s="2"/>
      <c r="E4" s="2"/>
      <c r="F4" s="2"/>
      <c r="G4" s="140" t="s">
        <v>0</v>
      </c>
      <c r="H4" s="140"/>
      <c r="I4" s="140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5">
      <c r="D5" s="5"/>
      <c r="E5" s="5"/>
      <c r="F5" s="5"/>
      <c r="G5" s="140" t="s">
        <v>1</v>
      </c>
      <c r="H5" s="140"/>
      <c r="I5" s="140"/>
      <c r="J5" s="5"/>
      <c r="K5" s="5"/>
      <c r="L5" s="5"/>
      <c r="M5" s="5"/>
      <c r="N5" s="5"/>
      <c r="O5" s="5"/>
      <c r="P5" s="5"/>
      <c r="Q5" s="3"/>
    </row>
    <row r="6" spans="1:17" ht="38.450000000000003" customHeight="1" x14ac:dyDescent="0.45">
      <c r="E6" s="6"/>
      <c r="F6" s="6"/>
      <c r="G6" s="140" t="s">
        <v>256</v>
      </c>
      <c r="H6" s="140"/>
      <c r="I6" s="140"/>
      <c r="J6" s="6"/>
      <c r="K6" s="6"/>
      <c r="L6" s="6"/>
      <c r="M6" s="6"/>
      <c r="N6" s="6"/>
      <c r="O6" s="6"/>
      <c r="P6" s="6"/>
      <c r="Q6" s="3"/>
    </row>
    <row r="7" spans="1:17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17" ht="43.15" customHeight="1" x14ac:dyDescent="0.45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17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17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17" ht="37.5" customHeight="1" thickBot="1" x14ac:dyDescent="0.45">
      <c r="C11" s="11"/>
      <c r="D11" s="12"/>
      <c r="E11" s="12"/>
      <c r="F11" s="12"/>
      <c r="G11" s="13" t="s">
        <v>2</v>
      </c>
      <c r="H11" s="141" t="s">
        <v>3</v>
      </c>
      <c r="I11" s="142"/>
      <c r="J11" s="141" t="s">
        <v>4</v>
      </c>
      <c r="K11" s="143"/>
      <c r="L11" s="143"/>
      <c r="M11" s="143"/>
      <c r="N11" s="143"/>
      <c r="O11" s="142"/>
      <c r="P11" s="12"/>
      <c r="Q11" s="14"/>
    </row>
    <row r="12" spans="1:17" ht="126" customHeight="1" thickBot="1" x14ac:dyDescent="0.3">
      <c r="A12" s="131" t="s">
        <v>5</v>
      </c>
      <c r="B12" s="131" t="s">
        <v>6</v>
      </c>
      <c r="C12" s="131" t="s">
        <v>7</v>
      </c>
      <c r="D12" s="131" t="s">
        <v>8</v>
      </c>
      <c r="E12" s="132" t="s">
        <v>9</v>
      </c>
      <c r="F12" s="132" t="s">
        <v>10</v>
      </c>
      <c r="G12" s="132" t="s">
        <v>11</v>
      </c>
      <c r="H12" s="133" t="s">
        <v>12</v>
      </c>
      <c r="I12" s="132" t="s">
        <v>13</v>
      </c>
      <c r="J12" s="132" t="s">
        <v>14</v>
      </c>
      <c r="K12" s="134" t="s">
        <v>15</v>
      </c>
      <c r="L12" s="135" t="s">
        <v>16</v>
      </c>
      <c r="M12" s="133" t="s">
        <v>17</v>
      </c>
      <c r="N12" s="131" t="s">
        <v>18</v>
      </c>
      <c r="O12" s="136" t="s">
        <v>4</v>
      </c>
      <c r="P12" s="132" t="s">
        <v>19</v>
      </c>
      <c r="Q12" s="137" t="s">
        <v>20</v>
      </c>
    </row>
    <row r="13" spans="1:17" ht="48.6" customHeight="1" thickBot="1" x14ac:dyDescent="0.3">
      <c r="B13" s="144" t="s">
        <v>21</v>
      </c>
      <c r="C13" s="145"/>
      <c r="D13" s="146"/>
      <c r="E13" s="20"/>
      <c r="F13" s="20"/>
      <c r="G13" s="20"/>
      <c r="H13" s="21"/>
      <c r="I13" s="20"/>
      <c r="J13" s="20"/>
      <c r="K13" s="20"/>
      <c r="L13" s="22"/>
      <c r="M13" s="21"/>
      <c r="N13" s="22"/>
      <c r="O13" s="23"/>
      <c r="P13" s="20"/>
      <c r="Q13" s="24"/>
    </row>
    <row r="14" spans="1:17" ht="37.5" customHeight="1" thickBot="1" x14ac:dyDescent="0.5">
      <c r="A14" s="25">
        <v>1</v>
      </c>
      <c r="B14" s="26" t="s">
        <v>22</v>
      </c>
      <c r="C14" s="27" t="s">
        <v>23</v>
      </c>
      <c r="D14" s="28" t="s">
        <v>24</v>
      </c>
      <c r="E14" s="28" t="s">
        <v>25</v>
      </c>
      <c r="F14" s="28" t="s">
        <v>26</v>
      </c>
      <c r="G14" s="29">
        <v>500000</v>
      </c>
      <c r="H14" s="30">
        <f>374040*2.87%</f>
        <v>10734.948</v>
      </c>
      <c r="I14" s="30">
        <f>187020*3.04%</f>
        <v>5685.4080000000004</v>
      </c>
      <c r="J14" s="30">
        <f t="shared" ref="J14:J19" si="0">G14-H14-I14</f>
        <v>483579.64400000003</v>
      </c>
      <c r="K14" s="30">
        <v>109477.78</v>
      </c>
      <c r="L14" s="30"/>
      <c r="M14" s="30"/>
      <c r="N14" s="30"/>
      <c r="O14" s="30">
        <v>25</v>
      </c>
      <c r="P14" s="30">
        <f>H14+I14+K14+O14</f>
        <v>125923.136</v>
      </c>
      <c r="Q14" s="30">
        <f>G14-P14</f>
        <v>374076.864</v>
      </c>
    </row>
    <row r="15" spans="1:17" ht="37.5" customHeight="1" thickBot="1" x14ac:dyDescent="0.45">
      <c r="A15" s="25">
        <v>2</v>
      </c>
      <c r="B15" s="26" t="s">
        <v>22</v>
      </c>
      <c r="C15" s="27" t="s">
        <v>23</v>
      </c>
      <c r="D15" s="28" t="s">
        <v>27</v>
      </c>
      <c r="E15" s="28" t="s">
        <v>28</v>
      </c>
      <c r="F15" s="28" t="s">
        <v>26</v>
      </c>
      <c r="G15" s="29">
        <v>250000</v>
      </c>
      <c r="H15" s="30">
        <f t="shared" ref="H15:H19" si="1">+G15*2.87%</f>
        <v>7175</v>
      </c>
      <c r="I15" s="30">
        <f>187020*3.04%</f>
        <v>5685.4080000000004</v>
      </c>
      <c r="J15" s="30">
        <f t="shared" si="0"/>
        <v>237139.592</v>
      </c>
      <c r="K15" s="30">
        <v>47867.77</v>
      </c>
      <c r="L15" s="30"/>
      <c r="M15" s="30"/>
      <c r="N15" s="30"/>
      <c r="O15" s="30">
        <v>25</v>
      </c>
      <c r="P15" s="30">
        <f t="shared" ref="P15:P18" si="2">H15+I15+K15+O15</f>
        <v>60753.178</v>
      </c>
      <c r="Q15" s="30">
        <f t="shared" ref="Q15:Q19" si="3">G15-P15</f>
        <v>189246.82199999999</v>
      </c>
    </row>
    <row r="16" spans="1:17" ht="55.15" customHeight="1" thickBot="1" x14ac:dyDescent="0.5">
      <c r="A16" s="25">
        <v>3</v>
      </c>
      <c r="B16" s="26">
        <v>44205</v>
      </c>
      <c r="C16" s="27" t="s">
        <v>29</v>
      </c>
      <c r="D16" s="28" t="s">
        <v>30</v>
      </c>
      <c r="E16" s="31" t="s">
        <v>31</v>
      </c>
      <c r="F16" s="28" t="s">
        <v>26</v>
      </c>
      <c r="G16" s="29">
        <v>110000</v>
      </c>
      <c r="H16" s="30">
        <f t="shared" si="1"/>
        <v>3157</v>
      </c>
      <c r="I16" s="30">
        <f>G16*3.04%</f>
        <v>3344</v>
      </c>
      <c r="J16" s="30">
        <f t="shared" si="0"/>
        <v>103499</v>
      </c>
      <c r="K16" s="30">
        <v>14457.62</v>
      </c>
      <c r="L16" s="30"/>
      <c r="M16" s="30"/>
      <c r="N16" s="30">
        <v>18983.84</v>
      </c>
      <c r="O16" s="30">
        <v>25</v>
      </c>
      <c r="P16" s="30">
        <f>H16+I16+K16+O16+N16</f>
        <v>39967.460000000006</v>
      </c>
      <c r="Q16" s="30">
        <f>G16-P16</f>
        <v>70032.539999999994</v>
      </c>
    </row>
    <row r="17" spans="1:17" ht="55.15" customHeight="1" thickBot="1" x14ac:dyDescent="0.5">
      <c r="A17" s="25">
        <v>4</v>
      </c>
      <c r="B17" s="26">
        <v>44205</v>
      </c>
      <c r="C17" s="27" t="s">
        <v>23</v>
      </c>
      <c r="D17" s="28" t="s">
        <v>32</v>
      </c>
      <c r="E17" s="31" t="s">
        <v>33</v>
      </c>
      <c r="F17" s="28" t="s">
        <v>26</v>
      </c>
      <c r="G17" s="29">
        <v>95000</v>
      </c>
      <c r="H17" s="30">
        <f t="shared" si="1"/>
        <v>2726.5</v>
      </c>
      <c r="I17" s="30">
        <f t="shared" ref="I17:I18" si="4">G17*3.04%</f>
        <v>2888</v>
      </c>
      <c r="J17" s="30">
        <f t="shared" si="0"/>
        <v>89385.5</v>
      </c>
      <c r="K17" s="30">
        <v>10929.31</v>
      </c>
      <c r="L17" s="30"/>
      <c r="M17" s="30"/>
      <c r="N17" s="30"/>
      <c r="O17" s="30">
        <v>25</v>
      </c>
      <c r="P17" s="30">
        <f t="shared" si="2"/>
        <v>16568.809999999998</v>
      </c>
      <c r="Q17" s="30">
        <f t="shared" si="3"/>
        <v>78431.19</v>
      </c>
    </row>
    <row r="18" spans="1:17" ht="55.15" customHeight="1" thickBot="1" x14ac:dyDescent="0.5">
      <c r="A18" s="25">
        <v>5</v>
      </c>
      <c r="B18" s="26">
        <v>44566</v>
      </c>
      <c r="C18" s="27" t="s">
        <v>29</v>
      </c>
      <c r="D18" s="28" t="s">
        <v>34</v>
      </c>
      <c r="E18" s="31" t="s">
        <v>35</v>
      </c>
      <c r="F18" s="28" t="s">
        <v>26</v>
      </c>
      <c r="G18" s="29">
        <v>95000</v>
      </c>
      <c r="H18" s="30">
        <f t="shared" si="1"/>
        <v>2726.5</v>
      </c>
      <c r="I18" s="30">
        <f t="shared" si="4"/>
        <v>2888</v>
      </c>
      <c r="J18" s="30">
        <f t="shared" si="0"/>
        <v>89385.5</v>
      </c>
      <c r="K18" s="30">
        <v>10929.31</v>
      </c>
      <c r="L18" s="30"/>
      <c r="M18" s="30"/>
      <c r="N18" s="30"/>
      <c r="O18" s="30">
        <v>25</v>
      </c>
      <c r="P18" s="30">
        <f t="shared" si="2"/>
        <v>16568.809999999998</v>
      </c>
      <c r="Q18" s="30">
        <f t="shared" si="3"/>
        <v>78431.19</v>
      </c>
    </row>
    <row r="19" spans="1:17" ht="66" customHeight="1" thickBot="1" x14ac:dyDescent="0.45">
      <c r="A19" s="25">
        <v>6</v>
      </c>
      <c r="B19" s="32">
        <v>44202</v>
      </c>
      <c r="C19" s="27" t="s">
        <v>23</v>
      </c>
      <c r="D19" s="28" t="s">
        <v>36</v>
      </c>
      <c r="E19" s="31" t="s">
        <v>37</v>
      </c>
      <c r="F19" s="28" t="s">
        <v>26</v>
      </c>
      <c r="G19" s="29">
        <v>200000</v>
      </c>
      <c r="H19" s="30">
        <f t="shared" si="1"/>
        <v>5740</v>
      </c>
      <c r="I19" s="30">
        <f>187020*3.04%</f>
        <v>5685.4080000000004</v>
      </c>
      <c r="J19" s="30">
        <f t="shared" si="0"/>
        <v>188574.592</v>
      </c>
      <c r="K19" s="30">
        <v>35627.94</v>
      </c>
      <c r="L19" s="30">
        <v>0</v>
      </c>
      <c r="M19" s="30">
        <v>1715.46</v>
      </c>
      <c r="N19" s="30">
        <v>15257.98</v>
      </c>
      <c r="O19" s="30">
        <v>25</v>
      </c>
      <c r="P19" s="30">
        <f>H19+I19+K19+O19+M19+N19</f>
        <v>64051.788</v>
      </c>
      <c r="Q19" s="30">
        <f t="shared" si="3"/>
        <v>135948.212</v>
      </c>
    </row>
    <row r="20" spans="1:17" ht="49.15" customHeight="1" thickBot="1" x14ac:dyDescent="0.5">
      <c r="A20" s="33"/>
      <c r="B20" s="148" t="s">
        <v>38</v>
      </c>
      <c r="C20" s="149"/>
      <c r="D20" s="149"/>
      <c r="E20" s="150"/>
      <c r="F20" s="36"/>
      <c r="G20" s="37">
        <f t="shared" ref="G20:Q20" si="5">SUM(G14:G19)</f>
        <v>1250000</v>
      </c>
      <c r="H20" s="37">
        <f t="shared" si="5"/>
        <v>32259.948</v>
      </c>
      <c r="I20" s="37">
        <f t="shared" si="5"/>
        <v>26176.223999999998</v>
      </c>
      <c r="J20" s="37">
        <f t="shared" si="5"/>
        <v>1191563.828</v>
      </c>
      <c r="K20" s="37">
        <f t="shared" si="5"/>
        <v>229289.72999999998</v>
      </c>
      <c r="L20" s="37">
        <f t="shared" si="5"/>
        <v>0</v>
      </c>
      <c r="M20" s="37">
        <f t="shared" si="5"/>
        <v>1715.46</v>
      </c>
      <c r="N20" s="37">
        <f t="shared" si="5"/>
        <v>34241.82</v>
      </c>
      <c r="O20" s="37">
        <f t="shared" si="5"/>
        <v>150</v>
      </c>
      <c r="P20" s="37">
        <f t="shared" si="5"/>
        <v>323833.18200000003</v>
      </c>
      <c r="Q20" s="37">
        <f t="shared" si="5"/>
        <v>926166.81799999997</v>
      </c>
    </row>
    <row r="21" spans="1:17" ht="37.15" customHeight="1" thickBot="1" x14ac:dyDescent="0.5">
      <c r="A21" s="38"/>
      <c r="B21" s="39"/>
      <c r="C21" s="40"/>
      <c r="D21" s="40"/>
      <c r="E21" s="40"/>
      <c r="F21" s="40"/>
      <c r="G21" s="41"/>
      <c r="H21" s="42"/>
      <c r="I21" s="42"/>
      <c r="J21" s="42"/>
      <c r="K21" s="42"/>
      <c r="L21" s="42"/>
      <c r="M21" s="42"/>
      <c r="N21" s="42"/>
      <c r="O21" s="42"/>
      <c r="P21" s="42"/>
      <c r="Q21" s="43"/>
    </row>
    <row r="22" spans="1:17" ht="48.6" customHeight="1" thickBot="1" x14ac:dyDescent="0.45">
      <c r="A22" s="44"/>
      <c r="B22" s="45"/>
      <c r="C22" s="46" t="s">
        <v>39</v>
      </c>
      <c r="D22" s="47"/>
      <c r="E22" s="47"/>
      <c r="F22" s="47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1:17" ht="37.5" customHeight="1" thickBot="1" x14ac:dyDescent="0.45">
      <c r="A23" s="25">
        <v>7</v>
      </c>
      <c r="B23" s="26" t="s">
        <v>22</v>
      </c>
      <c r="C23" s="27" t="s">
        <v>29</v>
      </c>
      <c r="D23" s="28" t="s">
        <v>40</v>
      </c>
      <c r="E23" s="28" t="s">
        <v>41</v>
      </c>
      <c r="F23" s="28" t="s">
        <v>26</v>
      </c>
      <c r="G23" s="29">
        <v>45000</v>
      </c>
      <c r="H23" s="30">
        <f t="shared" ref="H23:H47" si="6">+G23*2.87%</f>
        <v>1291.5</v>
      </c>
      <c r="I23" s="30">
        <f t="shared" ref="I23:I47" si="7">+G23*3.04%</f>
        <v>1368</v>
      </c>
      <c r="J23" s="30">
        <f t="shared" ref="J23:J47" si="8">G23-H23-I23</f>
        <v>42340.5</v>
      </c>
      <c r="K23" s="30">
        <v>1148.33</v>
      </c>
      <c r="L23" s="30"/>
      <c r="M23" s="30"/>
      <c r="N23" s="30"/>
      <c r="O23" s="30">
        <f>25+4000</f>
        <v>4025</v>
      </c>
      <c r="P23" s="30">
        <f t="shared" ref="P23:P47" si="9">H23+I23+K23+O23</f>
        <v>7832.83</v>
      </c>
      <c r="Q23" s="30">
        <f t="shared" ref="Q23:Q47" si="10">G23-P23</f>
        <v>37167.17</v>
      </c>
    </row>
    <row r="24" spans="1:17" ht="37.5" customHeight="1" thickBot="1" x14ac:dyDescent="0.5">
      <c r="A24" s="25">
        <v>8</v>
      </c>
      <c r="B24" s="26" t="s">
        <v>42</v>
      </c>
      <c r="C24" s="27" t="s">
        <v>23</v>
      </c>
      <c r="D24" s="28" t="s">
        <v>43</v>
      </c>
      <c r="E24" s="28" t="s">
        <v>44</v>
      </c>
      <c r="F24" s="28" t="s">
        <v>26</v>
      </c>
      <c r="G24" s="29">
        <v>30000</v>
      </c>
      <c r="H24" s="30">
        <f t="shared" si="6"/>
        <v>861</v>
      </c>
      <c r="I24" s="30">
        <f t="shared" si="7"/>
        <v>912</v>
      </c>
      <c r="J24" s="30">
        <f t="shared" si="8"/>
        <v>28227</v>
      </c>
      <c r="K24" s="30">
        <v>0</v>
      </c>
      <c r="L24" s="30"/>
      <c r="M24" s="30"/>
      <c r="N24" s="30"/>
      <c r="O24" s="30">
        <v>25</v>
      </c>
      <c r="P24" s="30">
        <f t="shared" si="9"/>
        <v>1798</v>
      </c>
      <c r="Q24" s="30">
        <f t="shared" si="10"/>
        <v>28202</v>
      </c>
    </row>
    <row r="25" spans="1:17" ht="37.5" customHeight="1" thickBot="1" x14ac:dyDescent="0.45">
      <c r="A25" s="25">
        <v>9</v>
      </c>
      <c r="B25" s="26" t="s">
        <v>42</v>
      </c>
      <c r="C25" s="27" t="s">
        <v>23</v>
      </c>
      <c r="D25" s="28" t="s">
        <v>45</v>
      </c>
      <c r="E25" s="28" t="s">
        <v>46</v>
      </c>
      <c r="F25" s="28" t="s">
        <v>26</v>
      </c>
      <c r="G25" s="29">
        <v>40000</v>
      </c>
      <c r="H25" s="30">
        <f t="shared" si="6"/>
        <v>1148</v>
      </c>
      <c r="I25" s="30">
        <f t="shared" si="7"/>
        <v>1216</v>
      </c>
      <c r="J25" s="30">
        <f t="shared" si="8"/>
        <v>37636</v>
      </c>
      <c r="K25" s="30">
        <v>442.85</v>
      </c>
      <c r="L25" s="30"/>
      <c r="M25" s="30"/>
      <c r="N25" s="30"/>
      <c r="O25" s="30">
        <v>25</v>
      </c>
      <c r="P25" s="30">
        <f t="shared" si="9"/>
        <v>2831.85</v>
      </c>
      <c r="Q25" s="30">
        <f t="shared" si="10"/>
        <v>37168.15</v>
      </c>
    </row>
    <row r="26" spans="1:17" ht="37.5" customHeight="1" thickBot="1" x14ac:dyDescent="0.5">
      <c r="A26" s="25">
        <v>10</v>
      </c>
      <c r="B26" s="26">
        <v>43901</v>
      </c>
      <c r="C26" s="27" t="s">
        <v>29</v>
      </c>
      <c r="D26" s="50" t="s">
        <v>47</v>
      </c>
      <c r="E26" s="28" t="s">
        <v>48</v>
      </c>
      <c r="F26" s="28" t="s">
        <v>26</v>
      </c>
      <c r="G26" s="29">
        <v>45000</v>
      </c>
      <c r="H26" s="30">
        <f t="shared" si="6"/>
        <v>1291.5</v>
      </c>
      <c r="I26" s="29">
        <f t="shared" si="7"/>
        <v>1368</v>
      </c>
      <c r="J26" s="29">
        <f t="shared" si="8"/>
        <v>42340.5</v>
      </c>
      <c r="K26" s="51">
        <v>1148.33</v>
      </c>
      <c r="L26" s="51"/>
      <c r="M26" s="51"/>
      <c r="N26" s="51"/>
      <c r="O26" s="30">
        <f>25+500</f>
        <v>525</v>
      </c>
      <c r="P26" s="30">
        <f t="shared" si="9"/>
        <v>4332.83</v>
      </c>
      <c r="Q26" s="30">
        <f t="shared" si="10"/>
        <v>40667.17</v>
      </c>
    </row>
    <row r="27" spans="1:17" ht="37.5" customHeight="1" thickBot="1" x14ac:dyDescent="0.5">
      <c r="A27" s="25">
        <v>11</v>
      </c>
      <c r="B27" s="26">
        <v>43901</v>
      </c>
      <c r="C27" s="27" t="s">
        <v>23</v>
      </c>
      <c r="D27" s="50" t="s">
        <v>49</v>
      </c>
      <c r="E27" s="28" t="s">
        <v>50</v>
      </c>
      <c r="F27" s="28" t="s">
        <v>26</v>
      </c>
      <c r="G27" s="29">
        <v>60000</v>
      </c>
      <c r="H27" s="30">
        <f t="shared" si="6"/>
        <v>1722</v>
      </c>
      <c r="I27" s="29">
        <f t="shared" si="7"/>
        <v>1824</v>
      </c>
      <c r="J27" s="29">
        <f t="shared" si="8"/>
        <v>56454</v>
      </c>
      <c r="K27" s="51">
        <v>3486.65</v>
      </c>
      <c r="L27" s="51"/>
      <c r="M27" s="51"/>
      <c r="N27" s="51"/>
      <c r="O27" s="30">
        <f>25+8500</f>
        <v>8525</v>
      </c>
      <c r="P27" s="30">
        <f t="shared" si="9"/>
        <v>15557.65</v>
      </c>
      <c r="Q27" s="30">
        <f t="shared" si="10"/>
        <v>44442.35</v>
      </c>
    </row>
    <row r="28" spans="1:17" ht="37.5" customHeight="1" thickBot="1" x14ac:dyDescent="0.45">
      <c r="A28" s="25">
        <v>12</v>
      </c>
      <c r="B28" s="26" t="s">
        <v>51</v>
      </c>
      <c r="C28" s="27" t="s">
        <v>23</v>
      </c>
      <c r="D28" s="50" t="s">
        <v>52</v>
      </c>
      <c r="E28" s="50" t="s">
        <v>53</v>
      </c>
      <c r="F28" s="50" t="s">
        <v>26</v>
      </c>
      <c r="G28" s="29">
        <v>30000</v>
      </c>
      <c r="H28" s="30">
        <f t="shared" si="6"/>
        <v>861</v>
      </c>
      <c r="I28" s="29">
        <f t="shared" si="7"/>
        <v>912</v>
      </c>
      <c r="J28" s="29">
        <f t="shared" si="8"/>
        <v>28227</v>
      </c>
      <c r="K28" s="51">
        <v>0</v>
      </c>
      <c r="L28" s="51"/>
      <c r="M28" s="51"/>
      <c r="N28" s="51"/>
      <c r="O28" s="30">
        <v>25</v>
      </c>
      <c r="P28" s="30">
        <f t="shared" si="9"/>
        <v>1798</v>
      </c>
      <c r="Q28" s="30">
        <f t="shared" si="10"/>
        <v>28202</v>
      </c>
    </row>
    <row r="29" spans="1:17" ht="37.5" customHeight="1" thickBot="1" x14ac:dyDescent="0.5">
      <c r="A29" s="25">
        <v>13</v>
      </c>
      <c r="B29" s="32">
        <v>44204</v>
      </c>
      <c r="C29" s="27" t="s">
        <v>23</v>
      </c>
      <c r="D29" s="50" t="s">
        <v>54</v>
      </c>
      <c r="E29" s="50" t="s">
        <v>53</v>
      </c>
      <c r="F29" s="50" t="s">
        <v>26</v>
      </c>
      <c r="G29" s="29">
        <v>30000</v>
      </c>
      <c r="H29" s="30">
        <f t="shared" si="6"/>
        <v>861</v>
      </c>
      <c r="I29" s="29">
        <f t="shared" si="7"/>
        <v>912</v>
      </c>
      <c r="J29" s="29">
        <f t="shared" si="8"/>
        <v>28227</v>
      </c>
      <c r="K29" s="51">
        <v>0</v>
      </c>
      <c r="L29" s="51"/>
      <c r="M29" s="30"/>
      <c r="N29" s="30"/>
      <c r="O29" s="30">
        <v>25</v>
      </c>
      <c r="P29" s="30">
        <f t="shared" si="9"/>
        <v>1798</v>
      </c>
      <c r="Q29" s="30">
        <f t="shared" si="10"/>
        <v>28202</v>
      </c>
    </row>
    <row r="30" spans="1:17" ht="37.5" customHeight="1" thickBot="1" x14ac:dyDescent="0.5">
      <c r="A30" s="25">
        <v>14</v>
      </c>
      <c r="B30" s="32">
        <v>44205</v>
      </c>
      <c r="C30" s="27" t="s">
        <v>23</v>
      </c>
      <c r="D30" s="50" t="s">
        <v>55</v>
      </c>
      <c r="E30" s="50" t="s">
        <v>56</v>
      </c>
      <c r="F30" s="50" t="s">
        <v>26</v>
      </c>
      <c r="G30" s="29">
        <v>40000</v>
      </c>
      <c r="H30" s="30">
        <f t="shared" si="6"/>
        <v>1148</v>
      </c>
      <c r="I30" s="29">
        <f t="shared" si="7"/>
        <v>1216</v>
      </c>
      <c r="J30" s="29">
        <f t="shared" si="8"/>
        <v>37636</v>
      </c>
      <c r="K30" s="51">
        <v>442.85</v>
      </c>
      <c r="L30" s="51"/>
      <c r="M30" s="30"/>
      <c r="N30" s="30"/>
      <c r="O30" s="30">
        <v>25</v>
      </c>
      <c r="P30" s="30">
        <f t="shared" si="9"/>
        <v>2831.85</v>
      </c>
      <c r="Q30" s="30">
        <f t="shared" si="10"/>
        <v>37168.15</v>
      </c>
    </row>
    <row r="31" spans="1:17" ht="37.5" customHeight="1" thickBot="1" x14ac:dyDescent="0.5">
      <c r="A31" s="25">
        <v>15</v>
      </c>
      <c r="B31" s="32">
        <v>44205</v>
      </c>
      <c r="C31" s="27" t="s">
        <v>29</v>
      </c>
      <c r="D31" s="50" t="s">
        <v>57</v>
      </c>
      <c r="E31" s="50" t="s">
        <v>58</v>
      </c>
      <c r="F31" s="50" t="s">
        <v>26</v>
      </c>
      <c r="G31" s="29">
        <v>30000</v>
      </c>
      <c r="H31" s="30">
        <f t="shared" si="6"/>
        <v>861</v>
      </c>
      <c r="I31" s="29">
        <f t="shared" si="7"/>
        <v>912</v>
      </c>
      <c r="J31" s="29">
        <f t="shared" si="8"/>
        <v>28227</v>
      </c>
      <c r="K31" s="51">
        <v>0</v>
      </c>
      <c r="L31" s="51"/>
      <c r="M31" s="30"/>
      <c r="N31" s="30"/>
      <c r="O31" s="30">
        <v>25</v>
      </c>
      <c r="P31" s="30">
        <f t="shared" si="9"/>
        <v>1798</v>
      </c>
      <c r="Q31" s="30">
        <f t="shared" si="10"/>
        <v>28202</v>
      </c>
    </row>
    <row r="32" spans="1:17" ht="37.5" customHeight="1" thickBot="1" x14ac:dyDescent="0.5">
      <c r="A32" s="25">
        <v>16</v>
      </c>
      <c r="B32" s="32" t="s">
        <v>59</v>
      </c>
      <c r="C32" s="27" t="s">
        <v>23</v>
      </c>
      <c r="D32" s="50" t="s">
        <v>60</v>
      </c>
      <c r="E32" s="50" t="s">
        <v>61</v>
      </c>
      <c r="F32" s="50" t="s">
        <v>26</v>
      </c>
      <c r="G32" s="29">
        <v>30000</v>
      </c>
      <c r="H32" s="30">
        <f t="shared" si="6"/>
        <v>861</v>
      </c>
      <c r="I32" s="29">
        <f t="shared" si="7"/>
        <v>912</v>
      </c>
      <c r="J32" s="29">
        <f t="shared" si="8"/>
        <v>28227</v>
      </c>
      <c r="K32" s="51">
        <v>0</v>
      </c>
      <c r="L32" s="51"/>
      <c r="M32" s="30"/>
      <c r="N32" s="30"/>
      <c r="O32" s="30">
        <v>25</v>
      </c>
      <c r="P32" s="30">
        <f t="shared" si="9"/>
        <v>1798</v>
      </c>
      <c r="Q32" s="30">
        <f t="shared" si="10"/>
        <v>28202</v>
      </c>
    </row>
    <row r="33" spans="1:17" ht="37.5" customHeight="1" thickBot="1" x14ac:dyDescent="0.5">
      <c r="A33" s="25">
        <v>17</v>
      </c>
      <c r="B33" s="32">
        <v>44206</v>
      </c>
      <c r="C33" s="27" t="s">
        <v>23</v>
      </c>
      <c r="D33" s="50" t="s">
        <v>62</v>
      </c>
      <c r="E33" s="50" t="s">
        <v>63</v>
      </c>
      <c r="F33" s="50" t="s">
        <v>26</v>
      </c>
      <c r="G33" s="29">
        <v>25000</v>
      </c>
      <c r="H33" s="30">
        <f t="shared" si="6"/>
        <v>717.5</v>
      </c>
      <c r="I33" s="29">
        <f t="shared" si="7"/>
        <v>760</v>
      </c>
      <c r="J33" s="29">
        <f t="shared" si="8"/>
        <v>23522.5</v>
      </c>
      <c r="K33" s="51">
        <v>0</v>
      </c>
      <c r="L33" s="51"/>
      <c r="M33" s="30"/>
      <c r="N33" s="30"/>
      <c r="O33" s="30">
        <v>25</v>
      </c>
      <c r="P33" s="30">
        <f t="shared" si="9"/>
        <v>1502.5</v>
      </c>
      <c r="Q33" s="30">
        <f t="shared" si="10"/>
        <v>23497.5</v>
      </c>
    </row>
    <row r="34" spans="1:17" ht="37.5" customHeight="1" thickBot="1" x14ac:dyDescent="0.45">
      <c r="A34" s="25">
        <v>18</v>
      </c>
      <c r="B34" s="32">
        <v>44206</v>
      </c>
      <c r="C34" s="27" t="s">
        <v>23</v>
      </c>
      <c r="D34" s="50" t="s">
        <v>64</v>
      </c>
      <c r="E34" s="50" t="s">
        <v>63</v>
      </c>
      <c r="F34" s="50" t="s">
        <v>26</v>
      </c>
      <c r="G34" s="29">
        <v>30000</v>
      </c>
      <c r="H34" s="30">
        <f t="shared" si="6"/>
        <v>861</v>
      </c>
      <c r="I34" s="29">
        <f t="shared" si="7"/>
        <v>912</v>
      </c>
      <c r="J34" s="29">
        <f t="shared" si="8"/>
        <v>28227</v>
      </c>
      <c r="K34" s="51">
        <v>0</v>
      </c>
      <c r="L34" s="51"/>
      <c r="M34" s="30"/>
      <c r="N34" s="30"/>
      <c r="O34" s="30">
        <v>25</v>
      </c>
      <c r="P34" s="30">
        <f t="shared" si="9"/>
        <v>1798</v>
      </c>
      <c r="Q34" s="30">
        <f t="shared" si="10"/>
        <v>28202</v>
      </c>
    </row>
    <row r="35" spans="1:17" ht="37.5" customHeight="1" thickBot="1" x14ac:dyDescent="0.45">
      <c r="A35" s="25">
        <v>19</v>
      </c>
      <c r="B35" s="32">
        <v>44206</v>
      </c>
      <c r="C35" s="27" t="s">
        <v>23</v>
      </c>
      <c r="D35" s="50" t="s">
        <v>65</v>
      </c>
      <c r="E35" s="50" t="s">
        <v>66</v>
      </c>
      <c r="F35" s="50" t="s">
        <v>26</v>
      </c>
      <c r="G35" s="29">
        <v>30000</v>
      </c>
      <c r="H35" s="30">
        <f t="shared" si="6"/>
        <v>861</v>
      </c>
      <c r="I35" s="29">
        <f t="shared" si="7"/>
        <v>912</v>
      </c>
      <c r="J35" s="29">
        <f t="shared" si="8"/>
        <v>28227</v>
      </c>
      <c r="K35" s="51">
        <v>0</v>
      </c>
      <c r="L35" s="51"/>
      <c r="M35" s="30"/>
      <c r="N35" s="30"/>
      <c r="O35" s="30">
        <f>25+4000</f>
        <v>4025</v>
      </c>
      <c r="P35" s="30">
        <f t="shared" si="9"/>
        <v>5798</v>
      </c>
      <c r="Q35" s="30">
        <f t="shared" si="10"/>
        <v>24202</v>
      </c>
    </row>
    <row r="36" spans="1:17" ht="37.5" customHeight="1" thickBot="1" x14ac:dyDescent="0.45">
      <c r="A36" s="25">
        <v>20</v>
      </c>
      <c r="B36" s="32">
        <v>44206</v>
      </c>
      <c r="C36" s="27" t="s">
        <v>29</v>
      </c>
      <c r="D36" s="50" t="s">
        <v>67</v>
      </c>
      <c r="E36" s="50" t="s">
        <v>58</v>
      </c>
      <c r="F36" s="50" t="s">
        <v>26</v>
      </c>
      <c r="G36" s="29">
        <v>30000</v>
      </c>
      <c r="H36" s="30">
        <f t="shared" si="6"/>
        <v>861</v>
      </c>
      <c r="I36" s="29">
        <f t="shared" si="7"/>
        <v>912</v>
      </c>
      <c r="J36" s="29">
        <f t="shared" si="8"/>
        <v>28227</v>
      </c>
      <c r="K36" s="51">
        <v>0</v>
      </c>
      <c r="L36" s="51"/>
      <c r="M36" s="30"/>
      <c r="N36" s="30"/>
      <c r="O36" s="30">
        <v>25</v>
      </c>
      <c r="P36" s="30">
        <f t="shared" si="9"/>
        <v>1798</v>
      </c>
      <c r="Q36" s="30">
        <f t="shared" si="10"/>
        <v>28202</v>
      </c>
    </row>
    <row r="37" spans="1:17" ht="37.5" customHeight="1" thickBot="1" x14ac:dyDescent="0.45">
      <c r="A37" s="25">
        <v>21</v>
      </c>
      <c r="B37" s="32">
        <v>44206</v>
      </c>
      <c r="C37" s="27" t="s">
        <v>23</v>
      </c>
      <c r="D37" s="50" t="s">
        <v>68</v>
      </c>
      <c r="E37" s="50" t="s">
        <v>69</v>
      </c>
      <c r="F37" s="50" t="s">
        <v>26</v>
      </c>
      <c r="G37" s="29">
        <v>30000</v>
      </c>
      <c r="H37" s="30">
        <f t="shared" si="6"/>
        <v>861</v>
      </c>
      <c r="I37" s="29">
        <f t="shared" si="7"/>
        <v>912</v>
      </c>
      <c r="J37" s="29">
        <f t="shared" si="8"/>
        <v>28227</v>
      </c>
      <c r="K37" s="51">
        <v>0</v>
      </c>
      <c r="L37" s="51"/>
      <c r="M37" s="30"/>
      <c r="N37" s="30"/>
      <c r="O37" s="30">
        <v>25</v>
      </c>
      <c r="P37" s="30">
        <f t="shared" si="9"/>
        <v>1798</v>
      </c>
      <c r="Q37" s="30">
        <f t="shared" si="10"/>
        <v>28202</v>
      </c>
    </row>
    <row r="38" spans="1:17" ht="37.5" customHeight="1" thickBot="1" x14ac:dyDescent="0.45">
      <c r="A38" s="25">
        <v>22</v>
      </c>
      <c r="B38" s="32">
        <v>44206</v>
      </c>
      <c r="C38" s="27" t="s">
        <v>29</v>
      </c>
      <c r="D38" s="50" t="s">
        <v>70</v>
      </c>
      <c r="E38" s="50" t="s">
        <v>58</v>
      </c>
      <c r="F38" s="50" t="s">
        <v>26</v>
      </c>
      <c r="G38" s="29">
        <v>30000</v>
      </c>
      <c r="H38" s="30">
        <f t="shared" si="6"/>
        <v>861</v>
      </c>
      <c r="I38" s="29">
        <f t="shared" si="7"/>
        <v>912</v>
      </c>
      <c r="J38" s="29">
        <f t="shared" si="8"/>
        <v>28227</v>
      </c>
      <c r="K38" s="51">
        <v>0</v>
      </c>
      <c r="L38" s="51"/>
      <c r="M38" s="30"/>
      <c r="N38" s="30"/>
      <c r="O38" s="30">
        <f>25+4100</f>
        <v>4125</v>
      </c>
      <c r="P38" s="30">
        <f t="shared" si="9"/>
        <v>5898</v>
      </c>
      <c r="Q38" s="30">
        <f t="shared" si="10"/>
        <v>24102</v>
      </c>
    </row>
    <row r="39" spans="1:17" ht="37.5" customHeight="1" thickBot="1" x14ac:dyDescent="0.45">
      <c r="A39" s="25">
        <v>23</v>
      </c>
      <c r="B39" s="32">
        <v>44206</v>
      </c>
      <c r="C39" s="27" t="s">
        <v>29</v>
      </c>
      <c r="D39" s="50" t="s">
        <v>71</v>
      </c>
      <c r="E39" s="50" t="s">
        <v>58</v>
      </c>
      <c r="F39" s="50" t="s">
        <v>26</v>
      </c>
      <c r="G39" s="29">
        <v>30000</v>
      </c>
      <c r="H39" s="30">
        <f t="shared" si="6"/>
        <v>861</v>
      </c>
      <c r="I39" s="29">
        <f t="shared" si="7"/>
        <v>912</v>
      </c>
      <c r="J39" s="29">
        <f t="shared" si="8"/>
        <v>28227</v>
      </c>
      <c r="K39" s="51">
        <v>0</v>
      </c>
      <c r="L39" s="51"/>
      <c r="M39" s="30"/>
      <c r="N39" s="30"/>
      <c r="O39" s="30">
        <v>25</v>
      </c>
      <c r="P39" s="30">
        <f t="shared" si="9"/>
        <v>1798</v>
      </c>
      <c r="Q39" s="30">
        <f t="shared" si="10"/>
        <v>28202</v>
      </c>
    </row>
    <row r="40" spans="1:17" ht="37.5" customHeight="1" thickBot="1" x14ac:dyDescent="0.45">
      <c r="A40" s="25">
        <v>24</v>
      </c>
      <c r="B40" s="32" t="s">
        <v>72</v>
      </c>
      <c r="C40" s="27" t="s">
        <v>23</v>
      </c>
      <c r="D40" s="50" t="s">
        <v>73</v>
      </c>
      <c r="E40" s="50" t="s">
        <v>61</v>
      </c>
      <c r="F40" s="50" t="s">
        <v>26</v>
      </c>
      <c r="G40" s="29">
        <v>30000</v>
      </c>
      <c r="H40" s="30">
        <f t="shared" si="6"/>
        <v>861</v>
      </c>
      <c r="I40" s="29">
        <f t="shared" si="7"/>
        <v>912</v>
      </c>
      <c r="J40" s="29">
        <f t="shared" si="8"/>
        <v>28227</v>
      </c>
      <c r="K40" s="51">
        <v>0</v>
      </c>
      <c r="L40" s="51"/>
      <c r="M40" s="30"/>
      <c r="N40" s="30"/>
      <c r="O40" s="30">
        <v>25</v>
      </c>
      <c r="P40" s="30">
        <f t="shared" si="9"/>
        <v>1798</v>
      </c>
      <c r="Q40" s="30">
        <f t="shared" si="10"/>
        <v>28202</v>
      </c>
    </row>
    <row r="41" spans="1:17" ht="37.5" customHeight="1" thickBot="1" x14ac:dyDescent="0.45">
      <c r="A41" s="25">
        <v>25</v>
      </c>
      <c r="B41" s="32" t="s">
        <v>72</v>
      </c>
      <c r="C41" s="27" t="s">
        <v>23</v>
      </c>
      <c r="D41" s="50" t="s">
        <v>74</v>
      </c>
      <c r="E41" s="50" t="s">
        <v>61</v>
      </c>
      <c r="F41" s="50" t="s">
        <v>26</v>
      </c>
      <c r="G41" s="29">
        <v>30000</v>
      </c>
      <c r="H41" s="30">
        <f t="shared" si="6"/>
        <v>861</v>
      </c>
      <c r="I41" s="29">
        <f t="shared" si="7"/>
        <v>912</v>
      </c>
      <c r="J41" s="29">
        <f t="shared" si="8"/>
        <v>28227</v>
      </c>
      <c r="K41" s="51">
        <v>0</v>
      </c>
      <c r="L41" s="51"/>
      <c r="M41" s="30"/>
      <c r="N41" s="30"/>
      <c r="O41" s="30">
        <f>25+3831</f>
        <v>3856</v>
      </c>
      <c r="P41" s="30">
        <f t="shared" si="9"/>
        <v>5629</v>
      </c>
      <c r="Q41" s="30">
        <f t="shared" si="10"/>
        <v>24371</v>
      </c>
    </row>
    <row r="42" spans="1:17" ht="37.5" customHeight="1" thickBot="1" x14ac:dyDescent="0.45">
      <c r="A42" s="25">
        <v>26</v>
      </c>
      <c r="B42" s="32">
        <v>44872</v>
      </c>
      <c r="C42" s="27" t="s">
        <v>23</v>
      </c>
      <c r="D42" s="50" t="s">
        <v>75</v>
      </c>
      <c r="E42" s="50" t="s">
        <v>58</v>
      </c>
      <c r="F42" s="50" t="s">
        <v>26</v>
      </c>
      <c r="G42" s="29">
        <v>30000</v>
      </c>
      <c r="H42" s="30">
        <f t="shared" si="6"/>
        <v>861</v>
      </c>
      <c r="I42" s="29">
        <f t="shared" si="7"/>
        <v>912</v>
      </c>
      <c r="J42" s="29">
        <f t="shared" si="8"/>
        <v>28227</v>
      </c>
      <c r="K42" s="51">
        <v>0</v>
      </c>
      <c r="L42" s="51"/>
      <c r="M42" s="30"/>
      <c r="N42" s="30"/>
      <c r="O42" s="30">
        <v>25</v>
      </c>
      <c r="P42" s="30">
        <f t="shared" si="9"/>
        <v>1798</v>
      </c>
      <c r="Q42" s="30">
        <f t="shared" si="10"/>
        <v>28202</v>
      </c>
    </row>
    <row r="43" spans="1:17" ht="37.5" customHeight="1" thickBot="1" x14ac:dyDescent="0.45">
      <c r="A43" s="25">
        <v>27</v>
      </c>
      <c r="B43" s="32">
        <v>44565</v>
      </c>
      <c r="C43" s="27" t="s">
        <v>23</v>
      </c>
      <c r="D43" s="50" t="s">
        <v>76</v>
      </c>
      <c r="E43" s="50" t="s">
        <v>61</v>
      </c>
      <c r="F43" s="50" t="s">
        <v>26</v>
      </c>
      <c r="G43" s="29">
        <v>30000</v>
      </c>
      <c r="H43" s="30">
        <f t="shared" si="6"/>
        <v>861</v>
      </c>
      <c r="I43" s="29">
        <f t="shared" si="7"/>
        <v>912</v>
      </c>
      <c r="J43" s="29">
        <f t="shared" si="8"/>
        <v>28227</v>
      </c>
      <c r="K43" s="51">
        <v>0</v>
      </c>
      <c r="L43" s="51"/>
      <c r="M43" s="30"/>
      <c r="N43" s="30"/>
      <c r="O43" s="30">
        <v>25</v>
      </c>
      <c r="P43" s="30">
        <f t="shared" si="9"/>
        <v>1798</v>
      </c>
      <c r="Q43" s="30">
        <f t="shared" si="10"/>
        <v>28202</v>
      </c>
    </row>
    <row r="44" spans="1:17" ht="37.5" customHeight="1" thickBot="1" x14ac:dyDescent="0.45">
      <c r="A44" s="25">
        <v>28</v>
      </c>
      <c r="B44" s="32">
        <v>44931</v>
      </c>
      <c r="C44" s="27" t="s">
        <v>23</v>
      </c>
      <c r="D44" s="50" t="s">
        <v>77</v>
      </c>
      <c r="E44" s="50" t="s">
        <v>61</v>
      </c>
      <c r="F44" s="50" t="s">
        <v>26</v>
      </c>
      <c r="G44" s="29">
        <v>30000</v>
      </c>
      <c r="H44" s="30">
        <f t="shared" si="6"/>
        <v>861</v>
      </c>
      <c r="I44" s="29">
        <f t="shared" si="7"/>
        <v>912</v>
      </c>
      <c r="J44" s="29">
        <f t="shared" si="8"/>
        <v>28227</v>
      </c>
      <c r="K44" s="51">
        <v>0</v>
      </c>
      <c r="L44" s="51"/>
      <c r="M44" s="30"/>
      <c r="N44" s="30"/>
      <c r="O44" s="30">
        <v>25</v>
      </c>
      <c r="P44" s="30">
        <f t="shared" si="9"/>
        <v>1798</v>
      </c>
      <c r="Q44" s="30">
        <f t="shared" si="10"/>
        <v>28202</v>
      </c>
    </row>
    <row r="45" spans="1:17" ht="37.5" customHeight="1" thickBot="1" x14ac:dyDescent="0.45">
      <c r="A45" s="25">
        <v>29</v>
      </c>
      <c r="B45" s="32">
        <v>44931</v>
      </c>
      <c r="C45" s="27" t="s">
        <v>29</v>
      </c>
      <c r="D45" s="50" t="s">
        <v>78</v>
      </c>
      <c r="E45" s="50" t="s">
        <v>58</v>
      </c>
      <c r="F45" s="50" t="s">
        <v>26</v>
      </c>
      <c r="G45" s="29">
        <v>30000</v>
      </c>
      <c r="H45" s="30">
        <f t="shared" si="6"/>
        <v>861</v>
      </c>
      <c r="I45" s="29">
        <f t="shared" si="7"/>
        <v>912</v>
      </c>
      <c r="J45" s="29">
        <f t="shared" si="8"/>
        <v>28227</v>
      </c>
      <c r="K45" s="51">
        <v>0</v>
      </c>
      <c r="L45" s="51"/>
      <c r="M45" s="30"/>
      <c r="N45" s="30"/>
      <c r="O45" s="30">
        <f>25+2000</f>
        <v>2025</v>
      </c>
      <c r="P45" s="30">
        <f t="shared" si="9"/>
        <v>3798</v>
      </c>
      <c r="Q45" s="30">
        <f t="shared" si="10"/>
        <v>26202</v>
      </c>
    </row>
    <row r="46" spans="1:17" ht="37.5" customHeight="1" thickBot="1" x14ac:dyDescent="0.45">
      <c r="A46" s="25">
        <v>30</v>
      </c>
      <c r="B46" s="32">
        <v>44937</v>
      </c>
      <c r="C46" s="27" t="s">
        <v>29</v>
      </c>
      <c r="D46" s="50" t="s">
        <v>79</v>
      </c>
      <c r="E46" s="50" t="s">
        <v>80</v>
      </c>
      <c r="F46" s="50" t="s">
        <v>26</v>
      </c>
      <c r="G46" s="29">
        <v>45000</v>
      </c>
      <c r="H46" s="30">
        <f t="shared" si="6"/>
        <v>1291.5</v>
      </c>
      <c r="I46" s="29">
        <f t="shared" si="7"/>
        <v>1368</v>
      </c>
      <c r="J46" s="29">
        <f t="shared" si="8"/>
        <v>42340.5</v>
      </c>
      <c r="K46" s="51">
        <v>1148.33</v>
      </c>
      <c r="L46" s="51"/>
      <c r="M46" s="30"/>
      <c r="N46" s="30"/>
      <c r="O46" s="30">
        <v>25</v>
      </c>
      <c r="P46" s="30">
        <f t="shared" si="9"/>
        <v>3832.83</v>
      </c>
      <c r="Q46" s="30">
        <f t="shared" si="10"/>
        <v>41167.17</v>
      </c>
    </row>
    <row r="47" spans="1:17" ht="37.5" customHeight="1" thickBot="1" x14ac:dyDescent="0.45">
      <c r="A47" s="25">
        <v>31</v>
      </c>
      <c r="B47" s="32">
        <v>44938</v>
      </c>
      <c r="C47" s="27" t="s">
        <v>23</v>
      </c>
      <c r="D47" s="50" t="s">
        <v>81</v>
      </c>
      <c r="E47" s="50" t="s">
        <v>82</v>
      </c>
      <c r="F47" s="50" t="s">
        <v>26</v>
      </c>
      <c r="G47" s="29">
        <v>45000</v>
      </c>
      <c r="H47" s="30">
        <f t="shared" si="6"/>
        <v>1291.5</v>
      </c>
      <c r="I47" s="29">
        <f t="shared" si="7"/>
        <v>1368</v>
      </c>
      <c r="J47" s="29">
        <f t="shared" si="8"/>
        <v>42340.5</v>
      </c>
      <c r="K47" s="51">
        <v>1148.33</v>
      </c>
      <c r="L47" s="51"/>
      <c r="M47" s="30"/>
      <c r="N47" s="30"/>
      <c r="O47" s="30">
        <v>25</v>
      </c>
      <c r="P47" s="30">
        <f t="shared" si="9"/>
        <v>3832.83</v>
      </c>
      <c r="Q47" s="30">
        <f t="shared" si="10"/>
        <v>41167.17</v>
      </c>
    </row>
    <row r="48" spans="1:17" ht="49.15" customHeight="1" thickBot="1" x14ac:dyDescent="0.45">
      <c r="A48" s="52"/>
      <c r="B48" s="148" t="s">
        <v>38</v>
      </c>
      <c r="C48" s="149" t="s">
        <v>83</v>
      </c>
      <c r="D48" s="149"/>
      <c r="E48" s="150"/>
      <c r="F48" s="53"/>
      <c r="G48" s="54">
        <f>SUM(G23:G47)</f>
        <v>855000</v>
      </c>
      <c r="H48" s="54">
        <f t="shared" ref="H48:Q48" si="11">SUM(H23:H47)</f>
        <v>24538.5</v>
      </c>
      <c r="I48" s="54">
        <f t="shared" si="11"/>
        <v>25992</v>
      </c>
      <c r="J48" s="54">
        <f t="shared" si="11"/>
        <v>804469.5</v>
      </c>
      <c r="K48" s="54">
        <f t="shared" si="11"/>
        <v>8965.67</v>
      </c>
      <c r="L48" s="54">
        <f t="shared" si="11"/>
        <v>0</v>
      </c>
      <c r="M48" s="54">
        <f t="shared" si="11"/>
        <v>0</v>
      </c>
      <c r="N48" s="54">
        <f t="shared" si="11"/>
        <v>0</v>
      </c>
      <c r="O48" s="54">
        <f>SUM(O23:O47)</f>
        <v>27556</v>
      </c>
      <c r="P48" s="54">
        <f t="shared" si="11"/>
        <v>87052.170000000013</v>
      </c>
      <c r="Q48" s="54">
        <f t="shared" si="11"/>
        <v>767947.83000000007</v>
      </c>
    </row>
    <row r="49" spans="1:17" ht="37.5" customHeight="1" x14ac:dyDescent="0.25">
      <c r="A49" s="151"/>
      <c r="B49" s="153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1"/>
    </row>
    <row r="50" spans="1:17" ht="37.5" customHeight="1" thickBot="1" x14ac:dyDescent="0.3">
      <c r="A50" s="152"/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2"/>
    </row>
    <row r="51" spans="1:17" ht="49.9" customHeight="1" thickBot="1" x14ac:dyDescent="0.45">
      <c r="A51" s="52"/>
      <c r="B51" s="148" t="s">
        <v>84</v>
      </c>
      <c r="C51" s="149"/>
      <c r="D51" s="149"/>
      <c r="E51" s="150"/>
      <c r="F51" s="55"/>
      <c r="G51" s="54">
        <f>G48+G20</f>
        <v>2105000</v>
      </c>
      <c r="H51" s="54">
        <f>H48+H20</f>
        <v>56798.448000000004</v>
      </c>
      <c r="I51" s="54">
        <f>I48+I20</f>
        <v>52168.224000000002</v>
      </c>
      <c r="J51" s="54">
        <f>J48+J20</f>
        <v>1996033.328</v>
      </c>
      <c r="K51" s="54">
        <f>K48+K20</f>
        <v>238255.4</v>
      </c>
      <c r="L51" s="54"/>
      <c r="M51" s="54">
        <f>M48+M20</f>
        <v>1715.46</v>
      </c>
      <c r="N51" s="54">
        <f>N48+N20</f>
        <v>34241.82</v>
      </c>
      <c r="O51" s="54">
        <f>O48+O20</f>
        <v>27706</v>
      </c>
      <c r="P51" s="54">
        <f>P48+P20</f>
        <v>410885.35200000007</v>
      </c>
      <c r="Q51" s="56">
        <f>Q48+Q20</f>
        <v>1694114.648</v>
      </c>
    </row>
    <row r="52" spans="1:17" ht="37.5" customHeight="1" x14ac:dyDescent="0.35">
      <c r="C52" s="3"/>
      <c r="D52" s="57"/>
      <c r="E52" s="3"/>
      <c r="F52" s="3"/>
      <c r="G52" s="3"/>
      <c r="H52" s="3"/>
      <c r="I52" s="3"/>
      <c r="J52" s="3"/>
      <c r="K52" s="3"/>
      <c r="L52" s="3"/>
      <c r="M52" s="3"/>
      <c r="N52" s="3"/>
      <c r="O52" s="58"/>
      <c r="P52" s="3"/>
      <c r="Q52" s="138">
        <v>1811688.38</v>
      </c>
    </row>
    <row r="53" spans="1:17" ht="37.5" customHeight="1" x14ac:dyDescent="0.35">
      <c r="C53" s="3"/>
      <c r="D53" s="11"/>
      <c r="E53" s="11"/>
      <c r="F53" s="11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>
        <f>Q52-Q51</f>
        <v>117573.73199999984</v>
      </c>
    </row>
    <row r="54" spans="1:17" ht="37.5" customHeight="1" x14ac:dyDescent="0.45">
      <c r="C54" s="3"/>
      <c r="D54" s="3"/>
      <c r="E54" s="3"/>
      <c r="F54" s="3"/>
      <c r="G54" s="9"/>
      <c r="H54" s="10"/>
      <c r="I54" s="3"/>
      <c r="J54" s="3"/>
      <c r="K54" s="59"/>
      <c r="L54" s="59"/>
      <c r="M54" s="59"/>
      <c r="N54" s="59"/>
      <c r="O54" s="60"/>
      <c r="P54" s="3"/>
      <c r="Q54" s="61"/>
    </row>
    <row r="55" spans="1:17" ht="48" customHeight="1" x14ac:dyDescent="0.3">
      <c r="C55" s="3"/>
      <c r="D55" s="3"/>
      <c r="E55" s="62" t="s">
        <v>85</v>
      </c>
      <c r="H55" s="3"/>
      <c r="I55" s="147" t="s">
        <v>86</v>
      </c>
      <c r="J55" s="147"/>
      <c r="K55" s="147"/>
      <c r="L55" s="62"/>
      <c r="M55" s="3"/>
      <c r="N55" s="3"/>
      <c r="O55" s="3"/>
      <c r="P55" s="60"/>
      <c r="Q55" s="3"/>
    </row>
    <row r="56" spans="1:17" ht="50.45" customHeight="1" x14ac:dyDescent="0.3">
      <c r="D56" s="63"/>
      <c r="E56" s="62" t="s">
        <v>87</v>
      </c>
      <c r="H56" s="64"/>
      <c r="I56" s="147" t="s">
        <v>88</v>
      </c>
      <c r="J56" s="147"/>
      <c r="K56" s="147"/>
      <c r="L56" s="62"/>
      <c r="M56" s="65"/>
      <c r="N56" s="66"/>
      <c r="O56" s="3"/>
      <c r="P56" s="3"/>
      <c r="Q56" s="3"/>
    </row>
    <row r="57" spans="1:17" ht="37.5" customHeight="1" x14ac:dyDescent="0.4">
      <c r="C57" s="67"/>
      <c r="D57" s="68"/>
      <c r="E57" s="68"/>
      <c r="F57" s="68"/>
      <c r="G57" s="69"/>
    </row>
    <row r="58" spans="1:17" ht="37.5" customHeight="1" x14ac:dyDescent="0.4">
      <c r="C58" s="67"/>
      <c r="D58" s="68"/>
      <c r="E58" s="70"/>
      <c r="F58" s="70"/>
      <c r="G58" s="71"/>
    </row>
    <row r="59" spans="1:17" ht="37.5" customHeight="1" x14ac:dyDescent="0.4">
      <c r="C59" s="67"/>
      <c r="D59" s="72"/>
      <c r="E59" s="67"/>
      <c r="F59" s="67"/>
      <c r="G59" s="69"/>
    </row>
    <row r="60" spans="1:17" ht="37.5" customHeight="1" x14ac:dyDescent="0.4">
      <c r="C60" s="67"/>
      <c r="D60" s="63"/>
      <c r="E60" s="63"/>
      <c r="F60" s="63"/>
      <c r="G60" s="63"/>
      <c r="H60" s="63"/>
      <c r="I60" s="63"/>
      <c r="J60" s="63"/>
      <c r="K60" s="63"/>
      <c r="L60" s="63"/>
      <c r="M60" s="73"/>
      <c r="N60" s="65"/>
    </row>
    <row r="61" spans="1:17" ht="37.5" customHeight="1" x14ac:dyDescent="0.4">
      <c r="C61" s="67"/>
      <c r="D61" s="68"/>
      <c r="E61" s="68"/>
      <c r="F61" s="68"/>
      <c r="G61" s="74"/>
      <c r="H61" s="63"/>
      <c r="I61" s="63"/>
      <c r="J61" s="63"/>
      <c r="K61" s="63"/>
      <c r="L61" s="63"/>
      <c r="M61" s="73"/>
      <c r="N61" s="65"/>
    </row>
    <row r="62" spans="1:17" ht="37.5" customHeight="1" x14ac:dyDescent="0.4">
      <c r="C62" s="67"/>
      <c r="D62" s="68"/>
      <c r="E62" s="68"/>
      <c r="F62" s="68"/>
      <c r="G62" s="74"/>
      <c r="H62" s="63"/>
      <c r="I62" s="63"/>
      <c r="J62" s="63"/>
      <c r="K62" s="63"/>
      <c r="L62" s="63"/>
      <c r="M62" s="73"/>
      <c r="N62" s="65"/>
    </row>
    <row r="63" spans="1:17" ht="37.5" customHeight="1" x14ac:dyDescent="0.4">
      <c r="C63" s="67"/>
      <c r="D63" s="68"/>
      <c r="E63" s="68"/>
      <c r="F63" s="68"/>
      <c r="G63" s="63"/>
    </row>
  </sheetData>
  <protectedRanges>
    <protectedRange sqref="C14" name="Data_7_1_1"/>
  </protectedRanges>
  <autoFilter ref="A12:Q12" xr:uid="{9F39948D-E9A9-49CF-B972-9BAF74CA9669}"/>
  <mergeCells count="13">
    <mergeCell ref="B13:D13"/>
    <mergeCell ref="I56:K56"/>
    <mergeCell ref="B20:E20"/>
    <mergeCell ref="B48:E48"/>
    <mergeCell ref="A49:A50"/>
    <mergeCell ref="B49:Q50"/>
    <mergeCell ref="B51:E51"/>
    <mergeCell ref="I55:K55"/>
    <mergeCell ref="G4:I4"/>
    <mergeCell ref="G5:I5"/>
    <mergeCell ref="G6:I6"/>
    <mergeCell ref="H11:I11"/>
    <mergeCell ref="J11:O11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6EC2-63FD-4A93-8FB7-E4AA98517D1C}">
  <dimension ref="A1:S120"/>
  <sheetViews>
    <sheetView showGridLines="0" topLeftCell="A89" zoomScale="39" zoomScaleNormal="39" zoomScaleSheetLayoutView="49" workbookViewId="0">
      <pane xSplit="6" topLeftCell="G1" activePane="topRight" state="frozen"/>
      <selection pane="topRight" activeCell="B110" sqref="B110:F110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5">
      <c r="D3" s="2"/>
      <c r="E3" s="2"/>
      <c r="F3" s="2"/>
      <c r="G3" s="2"/>
      <c r="H3" s="3"/>
      <c r="I3" s="4"/>
      <c r="J3" s="3"/>
      <c r="K3" s="2"/>
      <c r="L3" s="2"/>
      <c r="M3" s="2"/>
      <c r="N3" s="2"/>
      <c r="O3" s="2"/>
      <c r="P3" s="2"/>
      <c r="Q3" s="2"/>
      <c r="R3" s="2"/>
      <c r="S3" s="3"/>
    </row>
    <row r="4" spans="1:19" ht="34.9" customHeight="1" x14ac:dyDescent="0.4">
      <c r="D4" s="2"/>
      <c r="E4" s="2"/>
      <c r="F4" s="4" t="s">
        <v>89</v>
      </c>
      <c r="G4" s="2"/>
      <c r="H4" s="3"/>
      <c r="I4" s="4"/>
      <c r="J4" s="3"/>
      <c r="K4" s="2"/>
      <c r="L4" s="2"/>
      <c r="M4" s="2"/>
      <c r="N4" s="2"/>
      <c r="O4" s="2"/>
      <c r="P4" s="2"/>
      <c r="Q4" s="2"/>
      <c r="R4" s="2"/>
      <c r="S4" s="3"/>
    </row>
    <row r="5" spans="1:19" ht="37.5" customHeight="1" x14ac:dyDescent="0.45">
      <c r="D5" s="5"/>
      <c r="E5" s="5"/>
      <c r="F5" s="76" t="s">
        <v>90</v>
      </c>
      <c r="G5" s="5"/>
      <c r="H5" s="3"/>
      <c r="I5" s="7"/>
      <c r="J5" s="3"/>
      <c r="K5" s="5"/>
      <c r="L5" s="5"/>
      <c r="M5" s="5"/>
      <c r="N5" s="5"/>
      <c r="O5" s="5"/>
      <c r="P5" s="5"/>
      <c r="Q5" s="5"/>
      <c r="R5" s="5"/>
      <c r="S5" s="3"/>
    </row>
    <row r="6" spans="1:19" ht="37.5" customHeight="1" x14ac:dyDescent="0.45">
      <c r="D6" s="6"/>
      <c r="E6" s="6"/>
      <c r="F6" s="7" t="s">
        <v>277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3"/>
    </row>
    <row r="7" spans="1:19" ht="37.5" customHeight="1" x14ac:dyDescent="0.45">
      <c r="D7" s="7"/>
      <c r="E7" s="7"/>
      <c r="F7" s="7"/>
      <c r="G7" s="7"/>
      <c r="I7" s="7"/>
      <c r="L7" s="7"/>
      <c r="M7" s="7"/>
      <c r="N7" s="7"/>
      <c r="O7" s="8"/>
      <c r="P7" s="8"/>
      <c r="Q7" s="8"/>
      <c r="R7" s="7"/>
      <c r="S7" s="3"/>
    </row>
    <row r="8" spans="1:19" ht="37.5" customHeight="1" thickBot="1" x14ac:dyDescent="0.5">
      <c r="D8" s="3"/>
      <c r="E8" s="3"/>
      <c r="F8" s="3"/>
      <c r="G8" s="3"/>
      <c r="H8" s="77"/>
      <c r="I8" s="3"/>
      <c r="J8" s="3"/>
      <c r="K8" s="3"/>
      <c r="L8" s="9"/>
      <c r="M8" s="9"/>
      <c r="N8" s="9"/>
      <c r="O8" s="10"/>
      <c r="P8" s="8"/>
      <c r="Q8" s="8"/>
      <c r="R8" s="3"/>
      <c r="S8" s="3"/>
    </row>
    <row r="9" spans="1:19" ht="37.5" customHeight="1" thickBot="1" x14ac:dyDescent="0.45">
      <c r="D9" s="11"/>
      <c r="E9" s="12"/>
      <c r="F9" s="12"/>
      <c r="G9" s="12"/>
      <c r="H9" s="13" t="s">
        <v>2</v>
      </c>
      <c r="I9" s="141" t="s">
        <v>91</v>
      </c>
      <c r="J9" s="142"/>
      <c r="K9" s="143" t="s">
        <v>4</v>
      </c>
      <c r="L9" s="143"/>
      <c r="M9" s="143"/>
      <c r="N9" s="143"/>
      <c r="O9" s="143"/>
      <c r="P9" s="142"/>
      <c r="Q9" s="78"/>
      <c r="S9" s="14"/>
    </row>
    <row r="10" spans="1:19" ht="126.6" customHeight="1" thickBot="1" x14ac:dyDescent="0.3">
      <c r="A10" s="15" t="s">
        <v>5</v>
      </c>
      <c r="B10" s="15" t="s">
        <v>6</v>
      </c>
      <c r="C10" s="15" t="s">
        <v>92</v>
      </c>
      <c r="D10" s="15" t="s">
        <v>7</v>
      </c>
      <c r="E10" s="15" t="s">
        <v>8</v>
      </c>
      <c r="F10" s="16" t="s">
        <v>93</v>
      </c>
      <c r="G10" s="16" t="s">
        <v>10</v>
      </c>
      <c r="H10" s="16" t="s">
        <v>11</v>
      </c>
      <c r="I10" s="17" t="s">
        <v>94</v>
      </c>
      <c r="J10" s="16" t="s">
        <v>95</v>
      </c>
      <c r="K10" s="16" t="s">
        <v>14</v>
      </c>
      <c r="L10" s="16" t="s">
        <v>96</v>
      </c>
      <c r="M10" s="18" t="s">
        <v>16</v>
      </c>
      <c r="N10" s="15" t="s">
        <v>97</v>
      </c>
      <c r="O10" s="17" t="s">
        <v>98</v>
      </c>
      <c r="P10" s="19" t="s">
        <v>99</v>
      </c>
      <c r="Q10" s="19" t="s">
        <v>100</v>
      </c>
      <c r="R10" s="16" t="s">
        <v>19</v>
      </c>
      <c r="S10" s="17" t="s">
        <v>20</v>
      </c>
    </row>
    <row r="11" spans="1:19" ht="48.6" customHeight="1" thickBot="1" x14ac:dyDescent="0.45">
      <c r="A11" s="25"/>
      <c r="B11" s="79" t="s">
        <v>101</v>
      </c>
      <c r="C11" s="80"/>
      <c r="D11" s="80"/>
      <c r="E11" s="80"/>
      <c r="F11" s="81"/>
      <c r="G11" s="28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37.15" customHeight="1" thickBot="1" x14ac:dyDescent="0.45">
      <c r="A12" s="25">
        <v>1</v>
      </c>
      <c r="B12" s="26" t="s">
        <v>102</v>
      </c>
      <c r="C12" s="26">
        <v>45299</v>
      </c>
      <c r="D12" s="27" t="s">
        <v>29</v>
      </c>
      <c r="E12" s="28" t="s">
        <v>103</v>
      </c>
      <c r="F12" s="28" t="s">
        <v>104</v>
      </c>
      <c r="G12" s="27" t="s">
        <v>105</v>
      </c>
      <c r="H12" s="29">
        <v>225000</v>
      </c>
      <c r="I12" s="30">
        <f t="shared" ref="I12:I16" si="0">+H12*2.87%</f>
        <v>6457.5</v>
      </c>
      <c r="J12" s="30">
        <f>193525*3.04%</f>
        <v>5883.16</v>
      </c>
      <c r="K12" s="30">
        <f>H12-I12-J12</f>
        <v>212659.34</v>
      </c>
      <c r="L12" s="51">
        <v>41797.19</v>
      </c>
      <c r="M12" s="51"/>
      <c r="N12" s="30"/>
      <c r="O12" s="30">
        <v>25</v>
      </c>
      <c r="P12" s="30"/>
      <c r="Q12" s="30"/>
      <c r="R12" s="30">
        <f>I12+J12+L12+N12+O12+P12</f>
        <v>54162.850000000006</v>
      </c>
      <c r="S12" s="51">
        <f>H12-R12</f>
        <v>170837.15</v>
      </c>
    </row>
    <row r="13" spans="1:19" ht="62.45" customHeight="1" thickBot="1" x14ac:dyDescent="0.45">
      <c r="A13" s="25">
        <v>2</v>
      </c>
      <c r="B13" s="26">
        <v>44199</v>
      </c>
      <c r="C13" s="26">
        <v>45299</v>
      </c>
      <c r="D13" s="27" t="s">
        <v>29</v>
      </c>
      <c r="E13" s="28" t="s">
        <v>106</v>
      </c>
      <c r="F13" s="31" t="s">
        <v>107</v>
      </c>
      <c r="G13" s="27" t="s">
        <v>105</v>
      </c>
      <c r="H13" s="29">
        <v>77000</v>
      </c>
      <c r="I13" s="30">
        <f t="shared" si="0"/>
        <v>2209.9</v>
      </c>
      <c r="J13" s="30">
        <f>H13*3.04%</f>
        <v>2340.8000000000002</v>
      </c>
      <c r="K13" s="30">
        <f>H13-I13-J13</f>
        <v>72449.3</v>
      </c>
      <c r="L13" s="51">
        <f>6695.19-M13</f>
        <v>6695.19</v>
      </c>
      <c r="M13" s="51">
        <v>0</v>
      </c>
      <c r="N13" s="30"/>
      <c r="O13" s="30">
        <f>25</f>
        <v>25</v>
      </c>
      <c r="P13" s="30"/>
      <c r="Q13" s="30"/>
      <c r="R13" s="30">
        <f>I13+J13+L13+N13+O13+P13</f>
        <v>11270.89</v>
      </c>
      <c r="S13" s="51">
        <f t="shared" ref="S13:S16" si="1">H13-R13</f>
        <v>65729.11</v>
      </c>
    </row>
    <row r="14" spans="1:19" ht="38.450000000000003" customHeight="1" thickBot="1" x14ac:dyDescent="0.45">
      <c r="A14" s="25">
        <v>3</v>
      </c>
      <c r="B14" s="26">
        <v>44564</v>
      </c>
      <c r="C14" s="26">
        <v>45299</v>
      </c>
      <c r="D14" s="27" t="s">
        <v>29</v>
      </c>
      <c r="E14" s="28" t="s">
        <v>108</v>
      </c>
      <c r="F14" s="31" t="s">
        <v>109</v>
      </c>
      <c r="G14" s="27" t="s">
        <v>105</v>
      </c>
      <c r="H14" s="29">
        <v>115000</v>
      </c>
      <c r="I14" s="30">
        <f t="shared" si="0"/>
        <v>3300.5</v>
      </c>
      <c r="J14" s="30">
        <f>H14*3.04%</f>
        <v>3496</v>
      </c>
      <c r="K14" s="30">
        <f t="shared" ref="K14:K16" si="2">H14-I14-J14</f>
        <v>108203.5</v>
      </c>
      <c r="L14" s="51">
        <v>15633.74</v>
      </c>
      <c r="M14" s="51"/>
      <c r="N14" s="30"/>
      <c r="O14" s="30">
        <v>25</v>
      </c>
      <c r="P14" s="30"/>
      <c r="Q14" s="30">
        <v>0</v>
      </c>
      <c r="R14" s="82">
        <f>I14+J14+N14+O14+P14+L14-Q14</f>
        <v>22455.239999999998</v>
      </c>
      <c r="S14" s="51">
        <f>H14-R14</f>
        <v>92544.760000000009</v>
      </c>
    </row>
    <row r="15" spans="1:19" ht="38.450000000000003" customHeight="1" thickBot="1" x14ac:dyDescent="0.45">
      <c r="A15" s="25">
        <v>4</v>
      </c>
      <c r="B15" s="26" t="s">
        <v>110</v>
      </c>
      <c r="C15" s="26">
        <v>45301</v>
      </c>
      <c r="D15" s="27" t="s">
        <v>29</v>
      </c>
      <c r="E15" s="28" t="s">
        <v>111</v>
      </c>
      <c r="F15" s="31" t="s">
        <v>112</v>
      </c>
      <c r="G15" s="27" t="s">
        <v>105</v>
      </c>
      <c r="H15" s="29">
        <v>80000</v>
      </c>
      <c r="I15" s="30">
        <f t="shared" si="0"/>
        <v>2296</v>
      </c>
      <c r="J15" s="30">
        <f>H15*3.04%</f>
        <v>2432</v>
      </c>
      <c r="K15" s="30">
        <f t="shared" si="2"/>
        <v>75272</v>
      </c>
      <c r="L15" s="51">
        <v>4523</v>
      </c>
      <c r="M15" s="51">
        <v>2877.87</v>
      </c>
      <c r="N15" s="30"/>
      <c r="O15" s="30">
        <v>25</v>
      </c>
      <c r="P15" s="30"/>
      <c r="Q15" s="30"/>
      <c r="R15" s="30">
        <f>I15+J15+L15+N15+O15+P15</f>
        <v>9276</v>
      </c>
      <c r="S15" s="51">
        <f t="shared" si="1"/>
        <v>70724</v>
      </c>
    </row>
    <row r="16" spans="1:19" ht="75.75" customHeight="1" thickBot="1" x14ac:dyDescent="0.45">
      <c r="A16" s="25">
        <v>5</v>
      </c>
      <c r="B16" s="32">
        <v>44929</v>
      </c>
      <c r="C16" s="26">
        <v>45299</v>
      </c>
      <c r="D16" s="27" t="s">
        <v>23</v>
      </c>
      <c r="E16" s="28" t="s">
        <v>113</v>
      </c>
      <c r="F16" s="31" t="s">
        <v>114</v>
      </c>
      <c r="G16" s="27" t="s">
        <v>105</v>
      </c>
      <c r="H16" s="29">
        <v>115000</v>
      </c>
      <c r="I16" s="30">
        <f t="shared" si="0"/>
        <v>3300.5</v>
      </c>
      <c r="J16" s="30">
        <f>H16*3.04%</f>
        <v>3496</v>
      </c>
      <c r="K16" s="30">
        <f t="shared" si="2"/>
        <v>108203.5</v>
      </c>
      <c r="L16" s="51">
        <v>15204.88</v>
      </c>
      <c r="M16" s="51"/>
      <c r="N16" s="30">
        <v>1715.46</v>
      </c>
      <c r="O16" s="30">
        <f>25</f>
        <v>25</v>
      </c>
      <c r="P16" s="30"/>
      <c r="Q16" s="30"/>
      <c r="R16" s="30">
        <f>I16+J16+L16+N16+O16+P16</f>
        <v>23741.839999999997</v>
      </c>
      <c r="S16" s="51">
        <f t="shared" si="1"/>
        <v>91258.16</v>
      </c>
    </row>
    <row r="17" spans="1:19" ht="35.450000000000003" customHeight="1" thickBot="1" x14ac:dyDescent="0.5">
      <c r="A17" s="25"/>
      <c r="B17" s="148" t="s">
        <v>38</v>
      </c>
      <c r="C17" s="149"/>
      <c r="D17" s="149"/>
      <c r="E17" s="149"/>
      <c r="F17" s="150"/>
      <c r="G17" s="84"/>
      <c r="H17" s="85">
        <f>H12+H13+H14+H15+H16</f>
        <v>612000</v>
      </c>
      <c r="I17" s="85">
        <f t="shared" ref="I17:S17" si="3">I12+I13+I14+I15+I16</f>
        <v>17564.400000000001</v>
      </c>
      <c r="J17" s="85">
        <f t="shared" si="3"/>
        <v>17647.96</v>
      </c>
      <c r="K17" s="85">
        <f t="shared" si="3"/>
        <v>576787.64</v>
      </c>
      <c r="L17" s="85">
        <f t="shared" si="3"/>
        <v>83854</v>
      </c>
      <c r="M17" s="85">
        <f t="shared" si="3"/>
        <v>2877.87</v>
      </c>
      <c r="N17" s="85">
        <f t="shared" si="3"/>
        <v>1715.46</v>
      </c>
      <c r="O17" s="85">
        <f t="shared" si="3"/>
        <v>125</v>
      </c>
      <c r="P17" s="85">
        <f t="shared" si="3"/>
        <v>0</v>
      </c>
      <c r="Q17" s="85">
        <f t="shared" si="3"/>
        <v>0</v>
      </c>
      <c r="R17" s="85">
        <f t="shared" si="3"/>
        <v>120906.82</v>
      </c>
      <c r="S17" s="85">
        <f t="shared" si="3"/>
        <v>491093.18000000005</v>
      </c>
    </row>
    <row r="18" spans="1:19" ht="48.6" customHeight="1" thickBot="1" x14ac:dyDescent="0.45">
      <c r="A18" s="25"/>
      <c r="B18" s="157" t="s">
        <v>115</v>
      </c>
      <c r="C18" s="158"/>
      <c r="D18" s="158"/>
      <c r="E18" s="159"/>
      <c r="F18" s="28"/>
      <c r="G18" s="28"/>
      <c r="H18" s="29"/>
      <c r="I18" s="30"/>
      <c r="J18" s="30"/>
      <c r="K18" s="30"/>
      <c r="L18" s="51"/>
      <c r="M18" s="51"/>
      <c r="N18" s="30"/>
      <c r="O18" s="30"/>
      <c r="P18" s="30"/>
      <c r="Q18" s="30"/>
      <c r="R18" s="30"/>
      <c r="S18" s="30"/>
    </row>
    <row r="19" spans="1:19" ht="36.6" customHeight="1" thickBot="1" x14ac:dyDescent="0.45">
      <c r="A19" s="25">
        <v>6</v>
      </c>
      <c r="B19" s="26">
        <v>43872</v>
      </c>
      <c r="C19" s="26">
        <v>45333</v>
      </c>
      <c r="D19" s="26" t="s">
        <v>29</v>
      </c>
      <c r="E19" s="86" t="s">
        <v>116</v>
      </c>
      <c r="F19" s="28" t="s">
        <v>117</v>
      </c>
      <c r="G19" s="27" t="s">
        <v>105</v>
      </c>
      <c r="H19" s="29">
        <v>225000</v>
      </c>
      <c r="I19" s="30">
        <f>H19*2.87%</f>
        <v>6457.5</v>
      </c>
      <c r="J19" s="30">
        <f>193525*3.04%</f>
        <v>5883.16</v>
      </c>
      <c r="K19" s="30">
        <f>H19-I19-J19</f>
        <v>212659.34</v>
      </c>
      <c r="L19" s="51">
        <v>41797.19</v>
      </c>
      <c r="M19" s="51"/>
      <c r="N19" s="30"/>
      <c r="O19" s="30">
        <f>25</f>
        <v>25</v>
      </c>
      <c r="P19" s="30"/>
      <c r="Q19" s="87"/>
      <c r="R19" s="87">
        <f>I19+J19+L19+N19+O19+P19</f>
        <v>54162.850000000006</v>
      </c>
      <c r="S19" s="51">
        <f>H19-R19</f>
        <v>170837.15</v>
      </c>
    </row>
    <row r="20" spans="1:19" ht="37.15" customHeight="1" thickBot="1" x14ac:dyDescent="0.45">
      <c r="A20" s="25">
        <v>7</v>
      </c>
      <c r="B20" s="26" t="s">
        <v>118</v>
      </c>
      <c r="C20" s="26" t="s">
        <v>289</v>
      </c>
      <c r="D20" s="27" t="s">
        <v>29</v>
      </c>
      <c r="E20" s="28" t="s">
        <v>119</v>
      </c>
      <c r="F20" s="28" t="s">
        <v>120</v>
      </c>
      <c r="G20" s="27" t="s">
        <v>105</v>
      </c>
      <c r="H20" s="29">
        <v>125000</v>
      </c>
      <c r="I20" s="30">
        <f>H20*2.87%</f>
        <v>3587.5</v>
      </c>
      <c r="J20" s="30">
        <f>H20*3.04%</f>
        <v>3800</v>
      </c>
      <c r="K20" s="30">
        <f>H20-I20-J20</f>
        <v>117612.5</v>
      </c>
      <c r="L20" s="51">
        <v>17985.990000000002</v>
      </c>
      <c r="M20" s="51"/>
      <c r="N20" s="30"/>
      <c r="O20" s="30">
        <f>25</f>
        <v>25</v>
      </c>
      <c r="P20" s="30"/>
      <c r="Q20" s="87">
        <v>0</v>
      </c>
      <c r="R20" s="87">
        <f>I20+J20+N20+O20+P20+L20-Q20</f>
        <v>25398.49</v>
      </c>
      <c r="S20" s="51">
        <f t="shared" ref="S20:S21" si="4">H20-R20</f>
        <v>99601.51</v>
      </c>
    </row>
    <row r="21" spans="1:19" ht="37.15" customHeight="1" thickBot="1" x14ac:dyDescent="0.5">
      <c r="A21" s="25">
        <v>8</v>
      </c>
      <c r="B21" s="26">
        <v>44928</v>
      </c>
      <c r="C21" s="26">
        <v>45299</v>
      </c>
      <c r="D21" s="27" t="s">
        <v>29</v>
      </c>
      <c r="E21" s="28" t="s">
        <v>121</v>
      </c>
      <c r="F21" s="28" t="s">
        <v>122</v>
      </c>
      <c r="G21" s="27" t="s">
        <v>105</v>
      </c>
      <c r="H21" s="29">
        <v>82000</v>
      </c>
      <c r="I21" s="30">
        <f>H21*2.87%</f>
        <v>2353.4</v>
      </c>
      <c r="J21" s="30">
        <f>H21*3.04%</f>
        <v>2492.8000000000002</v>
      </c>
      <c r="K21" s="30">
        <f>H21-I21-J21</f>
        <v>77153.8</v>
      </c>
      <c r="L21" s="51">
        <v>7871.32</v>
      </c>
      <c r="M21" s="51"/>
      <c r="N21" s="30"/>
      <c r="O21" s="30">
        <v>25</v>
      </c>
      <c r="P21" s="30"/>
      <c r="Q21" s="87">
        <v>0</v>
      </c>
      <c r="R21" s="87">
        <f>I21+J21+N21+O21+P21+L21-Q21</f>
        <v>12742.52</v>
      </c>
      <c r="S21" s="51">
        <f t="shared" si="4"/>
        <v>69257.48</v>
      </c>
    </row>
    <row r="22" spans="1:19" ht="39.6" customHeight="1" thickBot="1" x14ac:dyDescent="0.5">
      <c r="A22" s="25"/>
      <c r="B22" s="148" t="s">
        <v>123</v>
      </c>
      <c r="C22" s="149"/>
      <c r="D22" s="149"/>
      <c r="E22" s="149"/>
      <c r="F22" s="150"/>
      <c r="G22" s="88"/>
      <c r="H22" s="85">
        <f>H19+H20+H21</f>
        <v>432000</v>
      </c>
      <c r="I22" s="85">
        <f t="shared" ref="I22:S22" si="5">I19+I20+I21</f>
        <v>12398.4</v>
      </c>
      <c r="J22" s="85">
        <f t="shared" si="5"/>
        <v>12175.96</v>
      </c>
      <c r="K22" s="85">
        <f t="shared" si="5"/>
        <v>407425.63999999996</v>
      </c>
      <c r="L22" s="85">
        <f t="shared" si="5"/>
        <v>67654.5</v>
      </c>
      <c r="M22" s="85">
        <f t="shared" si="5"/>
        <v>0</v>
      </c>
      <c r="N22" s="85">
        <f t="shared" si="5"/>
        <v>0</v>
      </c>
      <c r="O22" s="85">
        <f t="shared" si="5"/>
        <v>75</v>
      </c>
      <c r="P22" s="85">
        <f t="shared" si="5"/>
        <v>0</v>
      </c>
      <c r="Q22" s="85">
        <f t="shared" si="5"/>
        <v>0</v>
      </c>
      <c r="R22" s="85">
        <f t="shared" si="5"/>
        <v>92303.860000000015</v>
      </c>
      <c r="S22" s="85">
        <f t="shared" si="5"/>
        <v>339696.13999999996</v>
      </c>
    </row>
    <row r="23" spans="1:19" ht="48.6" customHeight="1" thickBot="1" x14ac:dyDescent="0.45">
      <c r="A23" s="25"/>
      <c r="B23" s="157" t="s">
        <v>124</v>
      </c>
      <c r="C23" s="158"/>
      <c r="D23" s="158"/>
      <c r="E23" s="158"/>
      <c r="F23" s="35"/>
      <c r="G23" s="88"/>
      <c r="H23" s="84"/>
      <c r="I23" s="84"/>
      <c r="J23" s="84"/>
      <c r="K23" s="84"/>
      <c r="L23" s="84"/>
      <c r="M23" s="84"/>
      <c r="N23" s="84"/>
      <c r="O23" s="29"/>
      <c r="P23" s="84"/>
      <c r="Q23" s="89"/>
      <c r="R23" s="89"/>
      <c r="S23" s="84"/>
    </row>
    <row r="24" spans="1:19" ht="37.15" customHeight="1" thickBot="1" x14ac:dyDescent="0.5">
      <c r="A24" s="25">
        <v>9</v>
      </c>
      <c r="B24" s="26" t="s">
        <v>125</v>
      </c>
      <c r="C24" s="26">
        <v>45299</v>
      </c>
      <c r="D24" s="26" t="s">
        <v>29</v>
      </c>
      <c r="E24" s="90" t="s">
        <v>126</v>
      </c>
      <c r="F24" s="90" t="s">
        <v>127</v>
      </c>
      <c r="G24" s="27" t="s">
        <v>105</v>
      </c>
      <c r="H24" s="29">
        <v>245000</v>
      </c>
      <c r="I24" s="29">
        <f t="shared" ref="I24:I32" si="6">H24*2.87%</f>
        <v>7031.5</v>
      </c>
      <c r="J24" s="29">
        <f>193525*3.04%</f>
        <v>5883.16</v>
      </c>
      <c r="K24" s="29">
        <f t="shared" ref="K24:K32" si="7">H24-I24-J24</f>
        <v>232085.34</v>
      </c>
      <c r="L24" s="29">
        <v>46604.2</v>
      </c>
      <c r="M24" s="29"/>
      <c r="N24" s="29"/>
      <c r="O24" s="29">
        <v>25</v>
      </c>
      <c r="P24" s="29"/>
      <c r="Q24" s="82">
        <v>0</v>
      </c>
      <c r="R24" s="82">
        <f>I24+J24+L24+N24+O24+P24-Q24</f>
        <v>59543.86</v>
      </c>
      <c r="S24" s="29">
        <f t="shared" ref="S24:S32" si="8">H24-R24</f>
        <v>185456.14</v>
      </c>
    </row>
    <row r="25" spans="1:19" ht="37.15" customHeight="1" thickBot="1" x14ac:dyDescent="0.45">
      <c r="A25" s="25">
        <v>10</v>
      </c>
      <c r="B25" s="32">
        <v>44198</v>
      </c>
      <c r="C25" s="32">
        <v>45299</v>
      </c>
      <c r="D25" s="26" t="s">
        <v>29</v>
      </c>
      <c r="E25" s="90" t="s">
        <v>128</v>
      </c>
      <c r="F25" s="86" t="s">
        <v>129</v>
      </c>
      <c r="G25" s="27" t="s">
        <v>105</v>
      </c>
      <c r="H25" s="29">
        <v>110000</v>
      </c>
      <c r="I25" s="29">
        <f t="shared" si="6"/>
        <v>3157</v>
      </c>
      <c r="J25" s="29">
        <f t="shared" ref="J25:J32" si="9">H25*3.04%</f>
        <v>3344</v>
      </c>
      <c r="K25" s="29">
        <f t="shared" si="7"/>
        <v>103499</v>
      </c>
      <c r="L25" s="29">
        <v>14457.42</v>
      </c>
      <c r="M25" s="29"/>
      <c r="N25" s="29"/>
      <c r="O25" s="29">
        <f>25</f>
        <v>25</v>
      </c>
      <c r="P25" s="29"/>
      <c r="Q25" s="82"/>
      <c r="R25" s="82">
        <f t="shared" ref="R25:R32" si="10">I25+L25+N25+O25+P25+J25</f>
        <v>20983.42</v>
      </c>
      <c r="S25" s="29">
        <f t="shared" si="8"/>
        <v>89016.58</v>
      </c>
    </row>
    <row r="26" spans="1:19" ht="37.15" customHeight="1" thickBot="1" x14ac:dyDescent="0.5">
      <c r="A26" s="25">
        <v>11</v>
      </c>
      <c r="B26" s="32">
        <v>44175</v>
      </c>
      <c r="C26" s="32">
        <v>45299</v>
      </c>
      <c r="D26" s="26" t="s">
        <v>23</v>
      </c>
      <c r="E26" s="90" t="s">
        <v>130</v>
      </c>
      <c r="F26" s="86" t="s">
        <v>131</v>
      </c>
      <c r="G26" s="27" t="s">
        <v>105</v>
      </c>
      <c r="H26" s="29">
        <v>85000</v>
      </c>
      <c r="I26" s="29">
        <f t="shared" si="6"/>
        <v>2439.5</v>
      </c>
      <c r="J26" s="29">
        <f t="shared" si="9"/>
        <v>2584</v>
      </c>
      <c r="K26" s="29">
        <f t="shared" si="7"/>
        <v>79976.5</v>
      </c>
      <c r="L26" s="29">
        <v>8576.99</v>
      </c>
      <c r="M26" s="29"/>
      <c r="N26" s="84"/>
      <c r="O26" s="29">
        <v>25</v>
      </c>
      <c r="P26" s="84"/>
      <c r="Q26" s="89"/>
      <c r="R26" s="82">
        <f t="shared" si="10"/>
        <v>13625.49</v>
      </c>
      <c r="S26" s="29">
        <f t="shared" si="8"/>
        <v>71374.509999999995</v>
      </c>
    </row>
    <row r="27" spans="1:19" ht="37.15" customHeight="1" thickBot="1" x14ac:dyDescent="0.5">
      <c r="A27" s="25">
        <v>12</v>
      </c>
      <c r="B27" s="32">
        <v>44564</v>
      </c>
      <c r="C27" s="32">
        <v>45300</v>
      </c>
      <c r="D27" s="26" t="s">
        <v>29</v>
      </c>
      <c r="E27" s="90" t="s">
        <v>132</v>
      </c>
      <c r="F27" s="86" t="s">
        <v>133</v>
      </c>
      <c r="G27" s="27" t="s">
        <v>105</v>
      </c>
      <c r="H27" s="29">
        <v>90000</v>
      </c>
      <c r="I27" s="29">
        <f t="shared" si="6"/>
        <v>2583</v>
      </c>
      <c r="J27" s="29">
        <f t="shared" si="9"/>
        <v>2736</v>
      </c>
      <c r="K27" s="29">
        <f t="shared" si="7"/>
        <v>84681</v>
      </c>
      <c r="L27" s="29">
        <v>9499.52</v>
      </c>
      <c r="M27" s="29">
        <v>253.6</v>
      </c>
      <c r="N27" s="84"/>
      <c r="O27" s="29">
        <v>25</v>
      </c>
      <c r="P27" s="84"/>
      <c r="Q27" s="89"/>
      <c r="R27" s="82">
        <f t="shared" si="10"/>
        <v>14843.52</v>
      </c>
      <c r="S27" s="29">
        <f t="shared" si="8"/>
        <v>75156.479999999996</v>
      </c>
    </row>
    <row r="28" spans="1:19" ht="37.15" customHeight="1" thickBot="1" x14ac:dyDescent="0.5">
      <c r="A28" s="25">
        <v>13</v>
      </c>
      <c r="B28" s="32">
        <v>44207</v>
      </c>
      <c r="C28" s="32">
        <v>45302</v>
      </c>
      <c r="D28" s="26" t="s">
        <v>23</v>
      </c>
      <c r="E28" s="90" t="s">
        <v>134</v>
      </c>
      <c r="F28" s="28" t="s">
        <v>135</v>
      </c>
      <c r="G28" s="27" t="s">
        <v>105</v>
      </c>
      <c r="H28" s="29">
        <v>65000</v>
      </c>
      <c r="I28" s="29">
        <f t="shared" si="6"/>
        <v>1865.5</v>
      </c>
      <c r="J28" s="29">
        <f t="shared" si="9"/>
        <v>1976</v>
      </c>
      <c r="K28" s="29">
        <f t="shared" si="7"/>
        <v>61158.5</v>
      </c>
      <c r="L28" s="29">
        <v>0</v>
      </c>
      <c r="M28" s="29">
        <v>5299.05</v>
      </c>
      <c r="N28" s="84"/>
      <c r="O28" s="29">
        <v>25</v>
      </c>
      <c r="P28" s="84"/>
      <c r="Q28" s="89"/>
      <c r="R28" s="82">
        <f t="shared" si="10"/>
        <v>3866.5</v>
      </c>
      <c r="S28" s="29">
        <f t="shared" si="8"/>
        <v>61133.5</v>
      </c>
    </row>
    <row r="29" spans="1:19" ht="37.15" customHeight="1" thickBot="1" x14ac:dyDescent="0.5">
      <c r="A29" s="25">
        <v>14</v>
      </c>
      <c r="B29" s="32">
        <v>44567</v>
      </c>
      <c r="C29" s="32">
        <v>45297</v>
      </c>
      <c r="D29" s="26" t="s">
        <v>29</v>
      </c>
      <c r="E29" s="90" t="s">
        <v>136</v>
      </c>
      <c r="F29" s="28" t="s">
        <v>279</v>
      </c>
      <c r="G29" s="27" t="s">
        <v>105</v>
      </c>
      <c r="H29" s="29">
        <v>70000</v>
      </c>
      <c r="I29" s="29">
        <f t="shared" si="6"/>
        <v>2009</v>
      </c>
      <c r="J29" s="29">
        <f t="shared" si="9"/>
        <v>2128</v>
      </c>
      <c r="K29" s="29">
        <f t="shared" si="7"/>
        <v>65863</v>
      </c>
      <c r="L29" s="29">
        <v>7400.87</v>
      </c>
      <c r="M29" s="29">
        <v>0</v>
      </c>
      <c r="N29" s="84"/>
      <c r="O29" s="29">
        <f>25</f>
        <v>25</v>
      </c>
      <c r="P29" s="84"/>
      <c r="Q29" s="89"/>
      <c r="R29" s="82">
        <f t="shared" si="10"/>
        <v>11562.869999999999</v>
      </c>
      <c r="S29" s="29">
        <f t="shared" si="8"/>
        <v>58437.130000000005</v>
      </c>
    </row>
    <row r="30" spans="1:19" ht="37.15" customHeight="1" thickBot="1" x14ac:dyDescent="0.5">
      <c r="A30" s="25">
        <v>15</v>
      </c>
      <c r="B30" s="32">
        <v>44566</v>
      </c>
      <c r="C30" s="32">
        <v>45302</v>
      </c>
      <c r="D30" s="26" t="s">
        <v>29</v>
      </c>
      <c r="E30" s="90" t="s">
        <v>138</v>
      </c>
      <c r="F30" s="28" t="s">
        <v>139</v>
      </c>
      <c r="G30" s="27" t="s">
        <v>105</v>
      </c>
      <c r="H30" s="29">
        <v>67500</v>
      </c>
      <c r="I30" s="29">
        <f t="shared" si="6"/>
        <v>1937.25</v>
      </c>
      <c r="J30" s="29">
        <f t="shared" si="9"/>
        <v>2052</v>
      </c>
      <c r="K30" s="29">
        <f t="shared" si="7"/>
        <v>63510.75</v>
      </c>
      <c r="L30" s="29">
        <v>4898.03</v>
      </c>
      <c r="M30" s="29"/>
      <c r="N30" s="84"/>
      <c r="O30" s="29">
        <f>25</f>
        <v>25</v>
      </c>
      <c r="P30" s="84"/>
      <c r="Q30" s="89"/>
      <c r="R30" s="82">
        <f t="shared" si="10"/>
        <v>8912.2799999999988</v>
      </c>
      <c r="S30" s="29">
        <f t="shared" si="8"/>
        <v>58587.72</v>
      </c>
    </row>
    <row r="31" spans="1:19" ht="37.15" customHeight="1" thickBot="1" x14ac:dyDescent="0.5">
      <c r="A31" s="25">
        <v>16</v>
      </c>
      <c r="B31" s="32">
        <v>45296</v>
      </c>
      <c r="C31" s="32" t="s">
        <v>288</v>
      </c>
      <c r="D31" s="26" t="s">
        <v>29</v>
      </c>
      <c r="E31" s="90" t="s">
        <v>287</v>
      </c>
      <c r="F31" s="28" t="s">
        <v>139</v>
      </c>
      <c r="G31" s="27" t="s">
        <v>142</v>
      </c>
      <c r="H31" s="29">
        <v>55000</v>
      </c>
      <c r="I31" s="29">
        <f t="shared" ref="I31" si="11">H31*2.87%</f>
        <v>1578.5</v>
      </c>
      <c r="J31" s="29">
        <f t="shared" ref="J31" si="12">H31*3.04%</f>
        <v>1672</v>
      </c>
      <c r="K31" s="29">
        <f t="shared" si="7"/>
        <v>51749.5</v>
      </c>
      <c r="L31" s="29">
        <v>2559.6799999999998</v>
      </c>
      <c r="M31" s="29"/>
      <c r="N31" s="84"/>
      <c r="O31" s="29">
        <f>25</f>
        <v>25</v>
      </c>
      <c r="P31" s="84"/>
      <c r="Q31" s="89"/>
      <c r="R31" s="82">
        <f t="shared" ref="R31" si="13">I31+L31+N31+O31+P31+J31</f>
        <v>5835.18</v>
      </c>
      <c r="S31" s="29">
        <f t="shared" ref="S31" si="14">H31-R31</f>
        <v>49164.82</v>
      </c>
    </row>
    <row r="32" spans="1:19" ht="37.15" customHeight="1" thickBot="1" x14ac:dyDescent="0.5">
      <c r="A32" s="25">
        <v>17</v>
      </c>
      <c r="B32" s="32">
        <v>44936</v>
      </c>
      <c r="C32" s="32">
        <v>45301</v>
      </c>
      <c r="D32" s="26" t="s">
        <v>29</v>
      </c>
      <c r="E32" s="90" t="s">
        <v>140</v>
      </c>
      <c r="F32" s="28" t="s">
        <v>141</v>
      </c>
      <c r="G32" s="27" t="s">
        <v>142</v>
      </c>
      <c r="H32" s="29">
        <v>100000</v>
      </c>
      <c r="I32" s="29">
        <f t="shared" si="6"/>
        <v>2870</v>
      </c>
      <c r="J32" s="29">
        <f t="shared" si="9"/>
        <v>3040</v>
      </c>
      <c r="K32" s="29">
        <f t="shared" si="7"/>
        <v>94090</v>
      </c>
      <c r="L32" s="29">
        <v>12105.44</v>
      </c>
      <c r="M32" s="29"/>
      <c r="N32" s="84"/>
      <c r="O32" s="29">
        <v>25</v>
      </c>
      <c r="P32" s="84"/>
      <c r="Q32" s="89"/>
      <c r="R32" s="82">
        <f t="shared" si="10"/>
        <v>18040.440000000002</v>
      </c>
      <c r="S32" s="29">
        <f t="shared" si="8"/>
        <v>81959.56</v>
      </c>
    </row>
    <row r="33" spans="1:19" ht="48.6" customHeight="1" thickBot="1" x14ac:dyDescent="0.5">
      <c r="A33" s="25"/>
      <c r="B33" s="148" t="s">
        <v>123</v>
      </c>
      <c r="C33" s="149"/>
      <c r="D33" s="149"/>
      <c r="E33" s="149"/>
      <c r="F33" s="150"/>
      <c r="G33" s="88"/>
      <c r="H33" s="91">
        <f>H24+H25+H26+H28+H27+H29+H30+H32+H31</f>
        <v>887500</v>
      </c>
      <c r="I33" s="91">
        <f t="shared" ref="I33:S33" si="15">I24+I25+I26+I28+I27+I29+I30+I32+I31</f>
        <v>25471.25</v>
      </c>
      <c r="J33" s="91">
        <f t="shared" si="15"/>
        <v>25415.16</v>
      </c>
      <c r="K33" s="91">
        <f t="shared" si="15"/>
        <v>836613.59</v>
      </c>
      <c r="L33" s="91">
        <f t="shared" si="15"/>
        <v>106102.15</v>
      </c>
      <c r="M33" s="91">
        <f t="shared" si="15"/>
        <v>5552.6500000000005</v>
      </c>
      <c r="N33" s="91">
        <f t="shared" si="15"/>
        <v>0</v>
      </c>
      <c r="O33" s="91">
        <f t="shared" si="15"/>
        <v>225</v>
      </c>
      <c r="P33" s="91">
        <f t="shared" si="15"/>
        <v>0</v>
      </c>
      <c r="Q33" s="91">
        <f t="shared" si="15"/>
        <v>0</v>
      </c>
      <c r="R33" s="91">
        <f t="shared" si="15"/>
        <v>157213.56</v>
      </c>
      <c r="S33" s="91">
        <f t="shared" si="15"/>
        <v>730286.44000000006</v>
      </c>
    </row>
    <row r="34" spans="1:19" ht="37.15" customHeight="1" thickBot="1" x14ac:dyDescent="0.5">
      <c r="A34" s="25"/>
      <c r="B34" s="157" t="s">
        <v>143</v>
      </c>
      <c r="C34" s="158"/>
      <c r="D34" s="158"/>
      <c r="E34" s="159"/>
      <c r="F34" s="35"/>
      <c r="G34" s="88"/>
      <c r="H34" s="84"/>
      <c r="I34" s="84"/>
      <c r="J34" s="84"/>
      <c r="K34" s="84"/>
      <c r="L34" s="84"/>
      <c r="M34" s="84"/>
      <c r="N34" s="84"/>
      <c r="O34" s="84"/>
      <c r="P34" s="84"/>
      <c r="Q34" s="89"/>
      <c r="R34" s="89"/>
      <c r="S34" s="84"/>
    </row>
    <row r="35" spans="1:19" ht="38.450000000000003" customHeight="1" thickBot="1" x14ac:dyDescent="0.45">
      <c r="A35" s="25">
        <v>18</v>
      </c>
      <c r="B35" s="32" t="s">
        <v>22</v>
      </c>
      <c r="C35" s="32">
        <v>45299</v>
      </c>
      <c r="D35" s="26" t="s">
        <v>29</v>
      </c>
      <c r="E35" s="90" t="s">
        <v>144</v>
      </c>
      <c r="F35" s="86" t="s">
        <v>145</v>
      </c>
      <c r="G35" s="27" t="s">
        <v>105</v>
      </c>
      <c r="H35" s="29">
        <v>245000</v>
      </c>
      <c r="I35" s="29">
        <f t="shared" ref="I35:I41" si="16">H35*2.87%</f>
        <v>7031.5</v>
      </c>
      <c r="J35" s="29">
        <f>193525*3.04%</f>
        <v>5883.16</v>
      </c>
      <c r="K35" s="29">
        <f t="shared" ref="K35:K41" si="17">H35-I35-J35</f>
        <v>232085.34</v>
      </c>
      <c r="L35" s="29">
        <v>46604.2</v>
      </c>
      <c r="M35" s="29"/>
      <c r="N35" s="29"/>
      <c r="O35" s="29">
        <v>25</v>
      </c>
      <c r="P35" s="29"/>
      <c r="Q35" s="82">
        <v>0</v>
      </c>
      <c r="R35" s="82">
        <f>I35+J35+N35+O35+P35+L35-Q35</f>
        <v>59543.86</v>
      </c>
      <c r="S35" s="29">
        <f t="shared" ref="S35:S41" si="18">H35-R35</f>
        <v>185456.14</v>
      </c>
    </row>
    <row r="36" spans="1:19" ht="57.75" thickBot="1" x14ac:dyDescent="0.45">
      <c r="A36" s="25">
        <v>19</v>
      </c>
      <c r="B36" s="32">
        <v>44198</v>
      </c>
      <c r="C36" s="32">
        <v>45299</v>
      </c>
      <c r="D36" s="26" t="s">
        <v>29</v>
      </c>
      <c r="E36" s="90" t="s">
        <v>146</v>
      </c>
      <c r="F36" s="92" t="s">
        <v>147</v>
      </c>
      <c r="G36" s="93" t="s">
        <v>105</v>
      </c>
      <c r="H36" s="29">
        <v>150000</v>
      </c>
      <c r="I36" s="29">
        <f t="shared" si="16"/>
        <v>4305</v>
      </c>
      <c r="J36" s="29">
        <f t="shared" ref="J36:J41" si="19">H36*3.04%</f>
        <v>4560</v>
      </c>
      <c r="K36" s="29">
        <f t="shared" si="17"/>
        <v>141135</v>
      </c>
      <c r="L36" s="29">
        <v>23866.69</v>
      </c>
      <c r="M36" s="94"/>
      <c r="N36" s="95"/>
      <c r="O36" s="29">
        <v>25</v>
      </c>
      <c r="P36" s="29"/>
      <c r="Q36" s="82">
        <v>0</v>
      </c>
      <c r="R36" s="82">
        <f>I36+J36+N36+O36+P36+L36-Q36</f>
        <v>32756.69</v>
      </c>
      <c r="S36" s="29">
        <f t="shared" si="18"/>
        <v>117243.31</v>
      </c>
    </row>
    <row r="37" spans="1:19" ht="38.450000000000003" customHeight="1" thickBot="1" x14ac:dyDescent="0.5">
      <c r="A37" s="25">
        <v>20</v>
      </c>
      <c r="B37" s="32">
        <v>44621</v>
      </c>
      <c r="C37" s="32">
        <v>45357</v>
      </c>
      <c r="D37" s="26" t="s">
        <v>23</v>
      </c>
      <c r="E37" s="90" t="s">
        <v>148</v>
      </c>
      <c r="F37" s="86" t="s">
        <v>149</v>
      </c>
      <c r="G37" s="93" t="s">
        <v>105</v>
      </c>
      <c r="H37" s="29">
        <v>95000</v>
      </c>
      <c r="I37" s="29">
        <f t="shared" si="16"/>
        <v>2726.5</v>
      </c>
      <c r="J37" s="29">
        <f t="shared" si="19"/>
        <v>2888</v>
      </c>
      <c r="K37" s="29">
        <f t="shared" si="17"/>
        <v>89385.5</v>
      </c>
      <c r="L37" s="29">
        <v>9753.1200000000008</v>
      </c>
      <c r="M37" s="29"/>
      <c r="N37" s="29"/>
      <c r="O37" s="29">
        <v>25</v>
      </c>
      <c r="P37" s="29"/>
      <c r="Q37" s="82"/>
      <c r="R37" s="82">
        <f t="shared" ref="R37:R41" si="20">I37+J37+N37+O37+P37+L37</f>
        <v>15392.62</v>
      </c>
      <c r="S37" s="29">
        <f t="shared" si="18"/>
        <v>79607.38</v>
      </c>
    </row>
    <row r="38" spans="1:19" ht="37.15" customHeight="1" thickBot="1" x14ac:dyDescent="0.5">
      <c r="A38" s="25">
        <v>21</v>
      </c>
      <c r="B38" s="32">
        <v>44198</v>
      </c>
      <c r="C38" s="32">
        <v>45299</v>
      </c>
      <c r="D38" s="26" t="s">
        <v>23</v>
      </c>
      <c r="E38" s="90" t="s">
        <v>150</v>
      </c>
      <c r="F38" s="86" t="s">
        <v>151</v>
      </c>
      <c r="G38" s="27" t="s">
        <v>105</v>
      </c>
      <c r="H38" s="29">
        <v>60000</v>
      </c>
      <c r="I38" s="29">
        <f t="shared" si="16"/>
        <v>1722</v>
      </c>
      <c r="J38" s="29">
        <f t="shared" si="19"/>
        <v>1824</v>
      </c>
      <c r="K38" s="29">
        <f t="shared" si="17"/>
        <v>56454</v>
      </c>
      <c r="L38" s="29">
        <v>0</v>
      </c>
      <c r="M38" s="29">
        <v>6629.37</v>
      </c>
      <c r="N38" s="29"/>
      <c r="O38" s="29">
        <v>25</v>
      </c>
      <c r="P38" s="29"/>
      <c r="Q38" s="82"/>
      <c r="R38" s="82">
        <f>I38+J38+N38+O38+P38+L38</f>
        <v>3571</v>
      </c>
      <c r="S38" s="29">
        <f t="shared" si="18"/>
        <v>56429</v>
      </c>
    </row>
    <row r="39" spans="1:19" ht="37.15" customHeight="1" thickBot="1" x14ac:dyDescent="0.5">
      <c r="A39" s="25">
        <v>22</v>
      </c>
      <c r="B39" s="32">
        <v>44206</v>
      </c>
      <c r="C39" s="32">
        <v>45299</v>
      </c>
      <c r="D39" s="26" t="s">
        <v>29</v>
      </c>
      <c r="E39" s="90" t="s">
        <v>152</v>
      </c>
      <c r="F39" s="86" t="s">
        <v>280</v>
      </c>
      <c r="G39" s="27" t="s">
        <v>105</v>
      </c>
      <c r="H39" s="29">
        <v>75000</v>
      </c>
      <c r="I39" s="29">
        <f t="shared" si="16"/>
        <v>2152.5</v>
      </c>
      <c r="J39" s="29">
        <f t="shared" si="19"/>
        <v>2280</v>
      </c>
      <c r="K39" s="29">
        <f t="shared" si="17"/>
        <v>70567.5</v>
      </c>
      <c r="L39" s="29">
        <v>2961.05</v>
      </c>
      <c r="M39" s="29">
        <v>3348.33</v>
      </c>
      <c r="N39" s="29"/>
      <c r="O39" s="29">
        <v>25</v>
      </c>
      <c r="P39" s="29"/>
      <c r="Q39" s="82"/>
      <c r="R39" s="82">
        <f t="shared" si="20"/>
        <v>7418.55</v>
      </c>
      <c r="S39" s="29">
        <f t="shared" si="18"/>
        <v>67581.45</v>
      </c>
    </row>
    <row r="40" spans="1:19" ht="37.15" customHeight="1" thickBot="1" x14ac:dyDescent="0.5">
      <c r="A40" s="25">
        <v>23</v>
      </c>
      <c r="B40" s="32">
        <v>44198</v>
      </c>
      <c r="C40" s="32">
        <v>45297</v>
      </c>
      <c r="D40" s="26" t="s">
        <v>29</v>
      </c>
      <c r="E40" s="90" t="s">
        <v>153</v>
      </c>
      <c r="F40" s="86" t="s">
        <v>149</v>
      </c>
      <c r="G40" s="27" t="s">
        <v>105</v>
      </c>
      <c r="H40" s="29">
        <v>95000</v>
      </c>
      <c r="I40" s="29">
        <f t="shared" si="16"/>
        <v>2726.5</v>
      </c>
      <c r="J40" s="29">
        <f t="shared" si="19"/>
        <v>2888</v>
      </c>
      <c r="K40" s="29">
        <f t="shared" si="17"/>
        <v>89385.5</v>
      </c>
      <c r="L40" s="29">
        <v>10929.24</v>
      </c>
      <c r="M40" s="29"/>
      <c r="N40" s="29"/>
      <c r="O40" s="29">
        <v>25</v>
      </c>
      <c r="P40" s="29">
        <v>6185.43</v>
      </c>
      <c r="Q40" s="82"/>
      <c r="R40" s="82">
        <f t="shared" si="20"/>
        <v>22754.17</v>
      </c>
      <c r="S40" s="29">
        <f t="shared" si="18"/>
        <v>72245.83</v>
      </c>
    </row>
    <row r="41" spans="1:19" ht="37.15" customHeight="1" thickBot="1" x14ac:dyDescent="0.5">
      <c r="A41" s="25">
        <v>24</v>
      </c>
      <c r="B41" s="32">
        <v>44938</v>
      </c>
      <c r="C41" s="32">
        <v>45297</v>
      </c>
      <c r="D41" s="26" t="s">
        <v>23</v>
      </c>
      <c r="E41" s="90" t="s">
        <v>154</v>
      </c>
      <c r="F41" s="86" t="s">
        <v>149</v>
      </c>
      <c r="G41" s="27" t="s">
        <v>105</v>
      </c>
      <c r="H41" s="29">
        <v>95000</v>
      </c>
      <c r="I41" s="29">
        <f t="shared" si="16"/>
        <v>2726.5</v>
      </c>
      <c r="J41" s="29">
        <f t="shared" si="19"/>
        <v>2888</v>
      </c>
      <c r="K41" s="29">
        <f t="shared" si="17"/>
        <v>89385.5</v>
      </c>
      <c r="L41" s="29">
        <v>10929.24</v>
      </c>
      <c r="M41" s="29"/>
      <c r="N41" s="29"/>
      <c r="O41" s="29">
        <v>25</v>
      </c>
      <c r="P41" s="29">
        <v>0</v>
      </c>
      <c r="Q41" s="82"/>
      <c r="R41" s="82">
        <f t="shared" si="20"/>
        <v>16568.739999999998</v>
      </c>
      <c r="S41" s="29">
        <f t="shared" si="18"/>
        <v>78431.260000000009</v>
      </c>
    </row>
    <row r="42" spans="1:19" ht="48.6" customHeight="1" thickBot="1" x14ac:dyDescent="0.5">
      <c r="A42" s="25"/>
      <c r="B42" s="148" t="s">
        <v>123</v>
      </c>
      <c r="C42" s="149"/>
      <c r="D42" s="149"/>
      <c r="E42" s="149"/>
      <c r="F42" s="150"/>
      <c r="G42" s="88"/>
      <c r="H42" s="85">
        <f>H35+H36+H38+H39+H37+H40+H41</f>
        <v>815000</v>
      </c>
      <c r="I42" s="85">
        <f t="shared" ref="I42:S42" si="21">I35+I36+I38+I39+I37+I40+I41</f>
        <v>23390.5</v>
      </c>
      <c r="J42" s="85">
        <f t="shared" si="21"/>
        <v>23211.16</v>
      </c>
      <c r="K42" s="85">
        <f t="shared" si="21"/>
        <v>768398.34</v>
      </c>
      <c r="L42" s="85">
        <f t="shared" si="21"/>
        <v>105043.54000000001</v>
      </c>
      <c r="M42" s="85">
        <f t="shared" si="21"/>
        <v>9977.7000000000007</v>
      </c>
      <c r="N42" s="85">
        <f t="shared" si="21"/>
        <v>0</v>
      </c>
      <c r="O42" s="85">
        <f t="shared" si="21"/>
        <v>175</v>
      </c>
      <c r="P42" s="85">
        <f t="shared" si="21"/>
        <v>6185.43</v>
      </c>
      <c r="Q42" s="85">
        <f t="shared" si="21"/>
        <v>0</v>
      </c>
      <c r="R42" s="85">
        <f t="shared" si="21"/>
        <v>158005.63</v>
      </c>
      <c r="S42" s="85">
        <f t="shared" si="21"/>
        <v>656994.37</v>
      </c>
    </row>
    <row r="43" spans="1:19" ht="48.6" customHeight="1" thickBot="1" x14ac:dyDescent="0.45">
      <c r="A43" s="25"/>
      <c r="B43" s="157" t="s">
        <v>155</v>
      </c>
      <c r="C43" s="158"/>
      <c r="D43" s="158"/>
      <c r="E43" s="159"/>
      <c r="F43" s="35"/>
      <c r="G43" s="88"/>
      <c r="H43" s="84"/>
      <c r="I43" s="84"/>
      <c r="J43" s="84"/>
      <c r="K43" s="84"/>
      <c r="L43" s="84"/>
      <c r="M43" s="84"/>
      <c r="N43" s="84"/>
      <c r="O43" s="29"/>
      <c r="P43" s="84"/>
      <c r="Q43" s="89"/>
      <c r="R43" s="89"/>
      <c r="S43" s="84"/>
    </row>
    <row r="44" spans="1:19" ht="37.15" customHeight="1" thickBot="1" x14ac:dyDescent="0.5">
      <c r="A44" s="25">
        <v>25</v>
      </c>
      <c r="B44" s="32" t="s">
        <v>22</v>
      </c>
      <c r="C44" s="32" t="s">
        <v>290</v>
      </c>
      <c r="D44" s="26" t="s">
        <v>23</v>
      </c>
      <c r="E44" s="90" t="s">
        <v>156</v>
      </c>
      <c r="F44" s="86" t="s">
        <v>157</v>
      </c>
      <c r="G44" s="27" t="s">
        <v>105</v>
      </c>
      <c r="H44" s="29">
        <v>225000</v>
      </c>
      <c r="I44" s="29">
        <f t="shared" ref="I44:I57" si="22">H44*2.87%</f>
        <v>6457.5</v>
      </c>
      <c r="J44" s="29">
        <f>193525*3.04%</f>
        <v>5883.16</v>
      </c>
      <c r="K44" s="29">
        <f t="shared" ref="K44:K57" si="23">H44-I44-J44</f>
        <v>212659.34</v>
      </c>
      <c r="L44" s="29">
        <v>41797.19</v>
      </c>
      <c r="M44" s="29"/>
      <c r="N44" s="84"/>
      <c r="O44" s="29">
        <v>25</v>
      </c>
      <c r="P44" s="84"/>
      <c r="Q44" s="89"/>
      <c r="R44" s="82">
        <f t="shared" ref="R44:R57" si="24">I44+J44+N338+L44+N44+O44+P44</f>
        <v>54162.850000000006</v>
      </c>
      <c r="S44" s="29">
        <f t="shared" ref="S44:S57" si="25">H44-R44</f>
        <v>170837.15</v>
      </c>
    </row>
    <row r="45" spans="1:19" ht="37.15" customHeight="1" thickBot="1" x14ac:dyDescent="0.5">
      <c r="A45" s="25">
        <v>26</v>
      </c>
      <c r="B45" s="32">
        <v>43872</v>
      </c>
      <c r="C45" s="32">
        <v>45330</v>
      </c>
      <c r="D45" s="26" t="s">
        <v>23</v>
      </c>
      <c r="E45" s="90" t="s">
        <v>158</v>
      </c>
      <c r="F45" s="86" t="s">
        <v>159</v>
      </c>
      <c r="G45" s="27" t="s">
        <v>105</v>
      </c>
      <c r="H45" s="29">
        <v>135000</v>
      </c>
      <c r="I45" s="29">
        <f t="shared" si="22"/>
        <v>3874.5</v>
      </c>
      <c r="J45" s="29">
        <f t="shared" ref="J45:J57" si="26">H45*3.04%</f>
        <v>4104</v>
      </c>
      <c r="K45" s="29">
        <f t="shared" si="23"/>
        <v>127021.5</v>
      </c>
      <c r="L45" s="29">
        <v>20338.189999999999</v>
      </c>
      <c r="M45" s="29"/>
      <c r="N45" s="84"/>
      <c r="O45" s="29">
        <v>25</v>
      </c>
      <c r="P45" s="84"/>
      <c r="Q45" s="89"/>
      <c r="R45" s="82">
        <f t="shared" si="24"/>
        <v>28341.69</v>
      </c>
      <c r="S45" s="29">
        <f t="shared" si="25"/>
        <v>106658.31</v>
      </c>
    </row>
    <row r="46" spans="1:19" ht="37.15" customHeight="1" thickBot="1" x14ac:dyDescent="0.45">
      <c r="A46" s="25">
        <v>27</v>
      </c>
      <c r="B46" s="26" t="s">
        <v>160</v>
      </c>
      <c r="C46" s="96" t="s">
        <v>291</v>
      </c>
      <c r="D46" s="96" t="s">
        <v>29</v>
      </c>
      <c r="E46" s="90" t="s">
        <v>161</v>
      </c>
      <c r="F46" s="97" t="s">
        <v>278</v>
      </c>
      <c r="G46" s="27" t="s">
        <v>105</v>
      </c>
      <c r="H46" s="29">
        <v>110000</v>
      </c>
      <c r="I46" s="29">
        <f t="shared" si="22"/>
        <v>3157</v>
      </c>
      <c r="J46" s="29">
        <f t="shared" si="26"/>
        <v>3344</v>
      </c>
      <c r="K46" s="29">
        <f t="shared" si="23"/>
        <v>103499</v>
      </c>
      <c r="L46" s="29">
        <v>14457.62</v>
      </c>
      <c r="M46" s="29"/>
      <c r="N46" s="84"/>
      <c r="O46" s="29">
        <v>25</v>
      </c>
      <c r="P46" s="84"/>
      <c r="Q46" s="89"/>
      <c r="R46" s="82">
        <f t="shared" si="24"/>
        <v>20983.620000000003</v>
      </c>
      <c r="S46" s="29">
        <f t="shared" si="25"/>
        <v>89016.38</v>
      </c>
    </row>
    <row r="47" spans="1:19" ht="37.15" customHeight="1" thickBot="1" x14ac:dyDescent="0.5">
      <c r="A47" s="25">
        <v>28</v>
      </c>
      <c r="B47" s="32">
        <v>44199</v>
      </c>
      <c r="C47" s="26">
        <v>45299</v>
      </c>
      <c r="D47" s="96" t="s">
        <v>29</v>
      </c>
      <c r="E47" s="90" t="s">
        <v>163</v>
      </c>
      <c r="F47" s="97" t="s">
        <v>164</v>
      </c>
      <c r="G47" s="27" t="s">
        <v>105</v>
      </c>
      <c r="H47" s="29">
        <v>90000</v>
      </c>
      <c r="I47" s="29">
        <f t="shared" si="22"/>
        <v>2583</v>
      </c>
      <c r="J47" s="29">
        <f t="shared" si="26"/>
        <v>2736</v>
      </c>
      <c r="K47" s="29">
        <f t="shared" si="23"/>
        <v>84681</v>
      </c>
      <c r="L47" s="29">
        <v>9324.25</v>
      </c>
      <c r="M47" s="29"/>
      <c r="N47" s="29">
        <v>1715.46</v>
      </c>
      <c r="O47" s="29">
        <v>25</v>
      </c>
      <c r="P47" s="84"/>
      <c r="Q47" s="89"/>
      <c r="R47" s="82">
        <f t="shared" si="24"/>
        <v>16383.71</v>
      </c>
      <c r="S47" s="29">
        <f t="shared" si="25"/>
        <v>73616.290000000008</v>
      </c>
    </row>
    <row r="48" spans="1:19" ht="37.15" customHeight="1" thickBot="1" x14ac:dyDescent="0.45">
      <c r="A48" s="25">
        <v>29</v>
      </c>
      <c r="B48" s="32" t="s">
        <v>51</v>
      </c>
      <c r="C48" s="32" t="s">
        <v>292</v>
      </c>
      <c r="D48" s="26" t="s">
        <v>29</v>
      </c>
      <c r="E48" s="90" t="s">
        <v>165</v>
      </c>
      <c r="F48" s="86" t="s">
        <v>166</v>
      </c>
      <c r="G48" s="27" t="s">
        <v>105</v>
      </c>
      <c r="H48" s="29">
        <v>70000</v>
      </c>
      <c r="I48" s="29">
        <f t="shared" si="22"/>
        <v>2009</v>
      </c>
      <c r="J48" s="29">
        <f t="shared" si="26"/>
        <v>2128</v>
      </c>
      <c r="K48" s="29">
        <f t="shared" si="23"/>
        <v>65863</v>
      </c>
      <c r="L48" s="29">
        <v>138.37</v>
      </c>
      <c r="M48" s="29">
        <v>5230.1099999999997</v>
      </c>
      <c r="N48" s="84"/>
      <c r="O48" s="29">
        <v>25</v>
      </c>
      <c r="P48" s="29">
        <v>3753.44</v>
      </c>
      <c r="Q48" s="89"/>
      <c r="R48" s="82">
        <f t="shared" si="24"/>
        <v>8053.8099999999995</v>
      </c>
      <c r="S48" s="29">
        <f t="shared" si="25"/>
        <v>61946.19</v>
      </c>
    </row>
    <row r="49" spans="1:19" ht="37.15" customHeight="1" thickBot="1" x14ac:dyDescent="0.45">
      <c r="A49" s="25">
        <v>30</v>
      </c>
      <c r="B49" s="32">
        <v>44207</v>
      </c>
      <c r="C49" s="32">
        <v>45294</v>
      </c>
      <c r="D49" s="26" t="s">
        <v>29</v>
      </c>
      <c r="E49" s="90" t="s">
        <v>167</v>
      </c>
      <c r="F49" s="86" t="s">
        <v>162</v>
      </c>
      <c r="G49" s="27" t="s">
        <v>105</v>
      </c>
      <c r="H49" s="29">
        <v>70000</v>
      </c>
      <c r="I49" s="29">
        <f t="shared" si="22"/>
        <v>2009</v>
      </c>
      <c r="J49" s="29">
        <f t="shared" si="26"/>
        <v>2128</v>
      </c>
      <c r="K49" s="29">
        <f t="shared" si="23"/>
        <v>65863</v>
      </c>
      <c r="L49" s="29">
        <v>5368.45</v>
      </c>
      <c r="M49" s="29"/>
      <c r="N49" s="84"/>
      <c r="O49" s="29">
        <v>25</v>
      </c>
      <c r="P49" s="84"/>
      <c r="Q49" s="89"/>
      <c r="R49" s="82">
        <f t="shared" si="24"/>
        <v>9530.4500000000007</v>
      </c>
      <c r="S49" s="29">
        <f t="shared" si="25"/>
        <v>60469.55</v>
      </c>
    </row>
    <row r="50" spans="1:19" ht="37.15" customHeight="1" thickBot="1" x14ac:dyDescent="0.5">
      <c r="A50" s="25">
        <v>31</v>
      </c>
      <c r="B50" s="32">
        <v>44621</v>
      </c>
      <c r="C50" s="32">
        <v>45357</v>
      </c>
      <c r="D50" s="26" t="s">
        <v>23</v>
      </c>
      <c r="E50" s="90" t="s">
        <v>168</v>
      </c>
      <c r="F50" s="86" t="s">
        <v>169</v>
      </c>
      <c r="G50" s="27" t="s">
        <v>105</v>
      </c>
      <c r="H50" s="29">
        <v>82000</v>
      </c>
      <c r="I50" s="29">
        <f t="shared" si="22"/>
        <v>2353.4</v>
      </c>
      <c r="J50" s="29">
        <f t="shared" si="26"/>
        <v>2492.8000000000002</v>
      </c>
      <c r="K50" s="29">
        <f t="shared" si="23"/>
        <v>77153.8</v>
      </c>
      <c r="L50" s="29">
        <v>5840.26</v>
      </c>
      <c r="M50" s="29">
        <v>2031.06</v>
      </c>
      <c r="N50" s="84"/>
      <c r="O50" s="29">
        <v>25</v>
      </c>
      <c r="P50" s="84"/>
      <c r="Q50" s="89"/>
      <c r="R50" s="82">
        <f t="shared" si="24"/>
        <v>10711.460000000001</v>
      </c>
      <c r="S50" s="29">
        <f t="shared" si="25"/>
        <v>71288.539999999994</v>
      </c>
    </row>
    <row r="51" spans="1:19" ht="37.15" customHeight="1" thickBot="1" x14ac:dyDescent="0.45">
      <c r="A51" s="25">
        <v>32</v>
      </c>
      <c r="B51" s="32">
        <v>44621</v>
      </c>
      <c r="C51" s="32">
        <v>45357</v>
      </c>
      <c r="D51" s="26" t="s">
        <v>29</v>
      </c>
      <c r="E51" s="90" t="s">
        <v>170</v>
      </c>
      <c r="F51" s="86" t="s">
        <v>137</v>
      </c>
      <c r="G51" s="27" t="s">
        <v>105</v>
      </c>
      <c r="H51" s="29">
        <v>60000</v>
      </c>
      <c r="I51" s="29">
        <f t="shared" si="22"/>
        <v>1722</v>
      </c>
      <c r="J51" s="29">
        <f t="shared" si="26"/>
        <v>1824</v>
      </c>
      <c r="K51" s="29">
        <f t="shared" si="23"/>
        <v>56454</v>
      </c>
      <c r="L51" s="29">
        <v>0</v>
      </c>
      <c r="M51" s="29">
        <v>6629.37</v>
      </c>
      <c r="N51" s="84"/>
      <c r="O51" s="29">
        <v>25</v>
      </c>
      <c r="P51" s="84"/>
      <c r="Q51" s="89"/>
      <c r="R51" s="82">
        <f t="shared" si="24"/>
        <v>3571</v>
      </c>
      <c r="S51" s="29">
        <f t="shared" si="25"/>
        <v>56429</v>
      </c>
    </row>
    <row r="52" spans="1:19" ht="37.15" customHeight="1" thickBot="1" x14ac:dyDescent="0.45">
      <c r="A52" s="25">
        <v>33</v>
      </c>
      <c r="B52" s="32">
        <v>44563</v>
      </c>
      <c r="C52" s="26">
        <v>45298</v>
      </c>
      <c r="D52" s="26" t="s">
        <v>29</v>
      </c>
      <c r="E52" s="90" t="s">
        <v>171</v>
      </c>
      <c r="F52" s="90" t="s">
        <v>137</v>
      </c>
      <c r="G52" s="27" t="s">
        <v>105</v>
      </c>
      <c r="H52" s="29">
        <v>60000</v>
      </c>
      <c r="I52" s="29">
        <f t="shared" si="22"/>
        <v>1722</v>
      </c>
      <c r="J52" s="29">
        <f t="shared" si="26"/>
        <v>1824</v>
      </c>
      <c r="K52" s="29">
        <f t="shared" si="23"/>
        <v>56454</v>
      </c>
      <c r="L52" s="29">
        <v>0</v>
      </c>
      <c r="M52" s="29">
        <v>5338.05</v>
      </c>
      <c r="N52" s="84"/>
      <c r="O52" s="29">
        <f>25</f>
        <v>25</v>
      </c>
      <c r="P52" s="84"/>
      <c r="Q52" s="89"/>
      <c r="R52" s="82">
        <f t="shared" si="24"/>
        <v>3571</v>
      </c>
      <c r="S52" s="29">
        <f t="shared" si="25"/>
        <v>56429</v>
      </c>
    </row>
    <row r="53" spans="1:19" ht="37.15" customHeight="1" thickBot="1" x14ac:dyDescent="0.45">
      <c r="A53" s="25">
        <v>34</v>
      </c>
      <c r="B53" s="26">
        <v>44564</v>
      </c>
      <c r="C53" s="39">
        <v>45297</v>
      </c>
      <c r="D53" s="26" t="s">
        <v>29</v>
      </c>
      <c r="E53" s="90" t="s">
        <v>172</v>
      </c>
      <c r="F53" s="90" t="s">
        <v>137</v>
      </c>
      <c r="G53" s="27" t="s">
        <v>105</v>
      </c>
      <c r="H53" s="29">
        <v>70000</v>
      </c>
      <c r="I53" s="29">
        <f t="shared" si="22"/>
        <v>2009</v>
      </c>
      <c r="J53" s="29">
        <f t="shared" si="26"/>
        <v>2128</v>
      </c>
      <c r="K53" s="29">
        <f t="shared" si="23"/>
        <v>65863</v>
      </c>
      <c r="L53" s="29">
        <v>0</v>
      </c>
      <c r="M53" s="29">
        <v>6129.37</v>
      </c>
      <c r="N53" s="84"/>
      <c r="O53" s="29">
        <v>25</v>
      </c>
      <c r="P53" s="84"/>
      <c r="Q53" s="89"/>
      <c r="R53" s="82">
        <f t="shared" si="24"/>
        <v>4162</v>
      </c>
      <c r="S53" s="29">
        <f t="shared" si="25"/>
        <v>65838</v>
      </c>
    </row>
    <row r="54" spans="1:19" ht="37.15" customHeight="1" thickBot="1" x14ac:dyDescent="0.45">
      <c r="A54" s="25">
        <v>35</v>
      </c>
      <c r="B54" s="26">
        <v>44564</v>
      </c>
      <c r="C54" s="39">
        <v>45297</v>
      </c>
      <c r="D54" s="26" t="s">
        <v>29</v>
      </c>
      <c r="E54" s="90" t="s">
        <v>173</v>
      </c>
      <c r="F54" s="90" t="s">
        <v>137</v>
      </c>
      <c r="G54" s="27" t="s">
        <v>105</v>
      </c>
      <c r="H54" s="29">
        <v>50000</v>
      </c>
      <c r="I54" s="29">
        <f t="shared" si="22"/>
        <v>1435</v>
      </c>
      <c r="J54" s="29">
        <f t="shared" si="26"/>
        <v>1520</v>
      </c>
      <c r="K54" s="29">
        <f t="shared" si="23"/>
        <v>47045</v>
      </c>
      <c r="L54" s="29">
        <v>0</v>
      </c>
      <c r="M54" s="29">
        <v>5543.71</v>
      </c>
      <c r="N54" s="84"/>
      <c r="O54" s="29">
        <f>25</f>
        <v>25</v>
      </c>
      <c r="P54" s="84"/>
      <c r="Q54" s="89"/>
      <c r="R54" s="82">
        <f t="shared" si="24"/>
        <v>2980</v>
      </c>
      <c r="S54" s="29">
        <f t="shared" si="25"/>
        <v>47020</v>
      </c>
    </row>
    <row r="55" spans="1:19" ht="37.15" customHeight="1" thickBot="1" x14ac:dyDescent="0.5">
      <c r="A55" s="25">
        <v>36</v>
      </c>
      <c r="B55" s="26">
        <v>44566</v>
      </c>
      <c r="C55" s="39">
        <v>45301</v>
      </c>
      <c r="D55" s="26" t="s">
        <v>29</v>
      </c>
      <c r="E55" s="90" t="s">
        <v>174</v>
      </c>
      <c r="F55" s="90" t="s">
        <v>162</v>
      </c>
      <c r="G55" s="27" t="s">
        <v>105</v>
      </c>
      <c r="H55" s="29">
        <v>85000</v>
      </c>
      <c r="I55" s="29">
        <f t="shared" si="22"/>
        <v>2439.5</v>
      </c>
      <c r="J55" s="29">
        <f t="shared" si="26"/>
        <v>2584</v>
      </c>
      <c r="K55" s="29">
        <f t="shared" si="23"/>
        <v>79976.5</v>
      </c>
      <c r="L55" s="29">
        <v>8576.99</v>
      </c>
      <c r="M55" s="29"/>
      <c r="N55" s="84"/>
      <c r="O55" s="29">
        <v>25</v>
      </c>
      <c r="P55" s="84"/>
      <c r="Q55" s="89"/>
      <c r="R55" s="82">
        <f t="shared" si="24"/>
        <v>13625.49</v>
      </c>
      <c r="S55" s="29">
        <f t="shared" si="25"/>
        <v>71374.509999999995</v>
      </c>
    </row>
    <row r="56" spans="1:19" ht="37.15" customHeight="1" thickBot="1" x14ac:dyDescent="0.45">
      <c r="A56" s="25">
        <v>37</v>
      </c>
      <c r="B56" s="26">
        <v>44621</v>
      </c>
      <c r="C56" s="39">
        <v>45357</v>
      </c>
      <c r="D56" s="26" t="s">
        <v>23</v>
      </c>
      <c r="E56" s="50" t="s">
        <v>175</v>
      </c>
      <c r="F56" s="90" t="s">
        <v>176</v>
      </c>
      <c r="G56" s="27" t="s">
        <v>105</v>
      </c>
      <c r="H56" s="29">
        <v>60000</v>
      </c>
      <c r="I56" s="29">
        <f t="shared" si="22"/>
        <v>1722</v>
      </c>
      <c r="J56" s="29">
        <f t="shared" si="26"/>
        <v>1824</v>
      </c>
      <c r="K56" s="29">
        <f t="shared" si="23"/>
        <v>56454</v>
      </c>
      <c r="L56" s="29">
        <v>3846.68</v>
      </c>
      <c r="M56" s="29"/>
      <c r="N56" s="84"/>
      <c r="O56" s="29">
        <f>25</f>
        <v>25</v>
      </c>
      <c r="P56" s="84"/>
      <c r="Q56" s="89"/>
      <c r="R56" s="82">
        <f t="shared" si="24"/>
        <v>7417.68</v>
      </c>
      <c r="S56" s="29">
        <f t="shared" si="25"/>
        <v>52582.32</v>
      </c>
    </row>
    <row r="57" spans="1:19" ht="37.15" customHeight="1" thickBot="1" x14ac:dyDescent="0.45">
      <c r="A57" s="25">
        <v>38</v>
      </c>
      <c r="B57" s="26">
        <v>44936</v>
      </c>
      <c r="C57" s="39">
        <v>45301</v>
      </c>
      <c r="D57" s="26" t="s">
        <v>29</v>
      </c>
      <c r="E57" s="50" t="s">
        <v>177</v>
      </c>
      <c r="F57" s="90" t="s">
        <v>178</v>
      </c>
      <c r="G57" s="27" t="s">
        <v>105</v>
      </c>
      <c r="H57" s="29">
        <v>72000</v>
      </c>
      <c r="I57" s="29">
        <f t="shared" si="22"/>
        <v>2066.4</v>
      </c>
      <c r="J57" s="29">
        <f t="shared" si="26"/>
        <v>2188.8000000000002</v>
      </c>
      <c r="K57" s="29">
        <f t="shared" si="23"/>
        <v>67744.800000000003</v>
      </c>
      <c r="L57" s="29">
        <v>0</v>
      </c>
      <c r="M57" s="29">
        <v>24508.36</v>
      </c>
      <c r="N57" s="84"/>
      <c r="O57" s="29">
        <v>25</v>
      </c>
      <c r="P57" s="84"/>
      <c r="Q57" s="89"/>
      <c r="R57" s="82">
        <f t="shared" si="24"/>
        <v>4280.2000000000007</v>
      </c>
      <c r="S57" s="29">
        <f t="shared" si="25"/>
        <v>67719.8</v>
      </c>
    </row>
    <row r="58" spans="1:19" ht="40.15" customHeight="1" thickBot="1" x14ac:dyDescent="0.5">
      <c r="A58" s="25"/>
      <c r="B58" s="148" t="s">
        <v>123</v>
      </c>
      <c r="C58" s="149"/>
      <c r="D58" s="149"/>
      <c r="E58" s="149"/>
      <c r="F58" s="150"/>
      <c r="G58" s="98"/>
      <c r="H58" s="85">
        <f>H44+H45+H46+H48+H47+H49+H50+H51+H52+H53+H54+H55+H56+H57</f>
        <v>1239000</v>
      </c>
      <c r="I58" s="85">
        <f t="shared" ref="I58:S58" si="27">I44+I45+I46+I48+I47+I49+I50+I51+I52+I53+I54+I55+I56+I57</f>
        <v>35559.300000000003</v>
      </c>
      <c r="J58" s="85">
        <f t="shared" si="27"/>
        <v>36708.76</v>
      </c>
      <c r="K58" s="85">
        <f t="shared" si="27"/>
        <v>1166731.9400000002</v>
      </c>
      <c r="L58" s="85">
        <f t="shared" si="27"/>
        <v>109687.99999999999</v>
      </c>
      <c r="M58" s="85">
        <f t="shared" si="27"/>
        <v>55410.03</v>
      </c>
      <c r="N58" s="85">
        <f t="shared" si="27"/>
        <v>1715.46</v>
      </c>
      <c r="O58" s="85">
        <f t="shared" si="27"/>
        <v>350</v>
      </c>
      <c r="P58" s="85">
        <f t="shared" si="27"/>
        <v>3753.44</v>
      </c>
      <c r="Q58" s="85">
        <f t="shared" si="27"/>
        <v>0</v>
      </c>
      <c r="R58" s="85">
        <f t="shared" si="27"/>
        <v>187774.96</v>
      </c>
      <c r="S58" s="85">
        <f t="shared" si="27"/>
        <v>1051225.04</v>
      </c>
    </row>
    <row r="59" spans="1:19" ht="48.6" customHeight="1" thickBot="1" x14ac:dyDescent="0.5">
      <c r="A59" s="25"/>
      <c r="B59" s="157" t="s">
        <v>179</v>
      </c>
      <c r="C59" s="158"/>
      <c r="D59" s="158"/>
      <c r="E59" s="159"/>
      <c r="F59" s="35"/>
      <c r="G59" s="98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84"/>
      <c r="S59" s="84"/>
    </row>
    <row r="60" spans="1:19" ht="40.15" customHeight="1" thickBot="1" x14ac:dyDescent="0.5">
      <c r="A60" s="25">
        <v>39</v>
      </c>
      <c r="B60" s="26">
        <v>44198</v>
      </c>
      <c r="C60" s="26">
        <v>45298</v>
      </c>
      <c r="D60" s="26" t="s">
        <v>29</v>
      </c>
      <c r="E60" s="90" t="s">
        <v>180</v>
      </c>
      <c r="F60" s="86" t="s">
        <v>181</v>
      </c>
      <c r="G60" s="100" t="s">
        <v>105</v>
      </c>
      <c r="H60" s="29">
        <v>150000</v>
      </c>
      <c r="I60" s="29">
        <f>H60*2.87%</f>
        <v>4305</v>
      </c>
      <c r="J60" s="82">
        <f>H60*3.04%</f>
        <v>4560</v>
      </c>
      <c r="K60" s="29">
        <f>H60-I60-J60</f>
        <v>141135</v>
      </c>
      <c r="L60" s="41">
        <v>23866.69</v>
      </c>
      <c r="M60" s="29"/>
      <c r="N60" s="29"/>
      <c r="O60" s="29">
        <v>25</v>
      </c>
      <c r="P60" s="29"/>
      <c r="Q60" s="82">
        <v>0</v>
      </c>
      <c r="R60" s="82">
        <f>I60+J60+N60+O60+P60+L60-Q60</f>
        <v>32756.69</v>
      </c>
      <c r="S60" s="29">
        <f t="shared" ref="S60" si="28">H60-R60</f>
        <v>117243.31</v>
      </c>
    </row>
    <row r="61" spans="1:19" ht="40.15" customHeight="1" thickBot="1" x14ac:dyDescent="0.5">
      <c r="A61" s="25">
        <v>40</v>
      </c>
      <c r="B61" s="26">
        <v>44199</v>
      </c>
      <c r="C61" s="26">
        <v>45298</v>
      </c>
      <c r="D61" s="26" t="s">
        <v>29</v>
      </c>
      <c r="E61" s="90" t="s">
        <v>182</v>
      </c>
      <c r="F61" s="90" t="s">
        <v>183</v>
      </c>
      <c r="G61" s="100" t="s">
        <v>105</v>
      </c>
      <c r="H61" s="29">
        <v>80000</v>
      </c>
      <c r="I61" s="29">
        <f>H61*2.87%</f>
        <v>2296</v>
      </c>
      <c r="J61" s="82">
        <f>H61*3.04%</f>
        <v>2432</v>
      </c>
      <c r="K61" s="29">
        <f>H61-I61-J61</f>
        <v>75272</v>
      </c>
      <c r="L61" s="29">
        <v>288.95</v>
      </c>
      <c r="M61" s="29">
        <v>7111.92</v>
      </c>
      <c r="N61" s="29">
        <v>0</v>
      </c>
      <c r="O61" s="29">
        <v>25</v>
      </c>
      <c r="P61" s="29">
        <v>3753.44</v>
      </c>
      <c r="Q61" s="82"/>
      <c r="R61" s="82">
        <f>I61+J61+L61+N61+O61+P61</f>
        <v>8795.39</v>
      </c>
      <c r="S61" s="29">
        <f>H61-R61</f>
        <v>71204.61</v>
      </c>
    </row>
    <row r="62" spans="1:19" ht="40.15" customHeight="1" thickBot="1" x14ac:dyDescent="0.5">
      <c r="A62" s="25">
        <v>41</v>
      </c>
      <c r="B62" s="26" t="s">
        <v>22</v>
      </c>
      <c r="C62" s="26">
        <v>45298</v>
      </c>
      <c r="D62" s="26" t="s">
        <v>29</v>
      </c>
      <c r="E62" s="90" t="s">
        <v>184</v>
      </c>
      <c r="F62" s="90" t="s">
        <v>183</v>
      </c>
      <c r="G62" s="100" t="s">
        <v>105</v>
      </c>
      <c r="H62" s="29">
        <v>95000</v>
      </c>
      <c r="I62" s="29">
        <f>H62*2.87%</f>
        <v>2726.5</v>
      </c>
      <c r="J62" s="82">
        <f>H62*3.04%</f>
        <v>2888</v>
      </c>
      <c r="K62" s="29">
        <f>H62-I62-J62</f>
        <v>89385.5</v>
      </c>
      <c r="L62" s="29">
        <v>10534.88</v>
      </c>
      <c r="M62" s="29"/>
      <c r="N62" s="29">
        <v>1715.46</v>
      </c>
      <c r="O62" s="29">
        <v>25</v>
      </c>
      <c r="P62" s="29">
        <v>3753.44</v>
      </c>
      <c r="Q62" s="82"/>
      <c r="R62" s="82">
        <f>I62+J62+L62+N62+O62+P62</f>
        <v>21643.279999999999</v>
      </c>
      <c r="S62" s="29">
        <f>H62-R62</f>
        <v>73356.72</v>
      </c>
    </row>
    <row r="63" spans="1:19" ht="48.6" customHeight="1" thickBot="1" x14ac:dyDescent="0.5">
      <c r="A63" s="25"/>
      <c r="B63" s="148" t="s">
        <v>123</v>
      </c>
      <c r="C63" s="149"/>
      <c r="D63" s="149"/>
      <c r="E63" s="149"/>
      <c r="F63" s="150"/>
      <c r="G63" s="40"/>
      <c r="H63" s="85">
        <f>H60+H61+H62</f>
        <v>325000</v>
      </c>
      <c r="I63" s="85">
        <f t="shared" ref="I63:S63" si="29">I60+I61+I62</f>
        <v>9327.5</v>
      </c>
      <c r="J63" s="85">
        <f t="shared" si="29"/>
        <v>9880</v>
      </c>
      <c r="K63" s="85">
        <f t="shared" si="29"/>
        <v>305792.5</v>
      </c>
      <c r="L63" s="85">
        <f t="shared" si="29"/>
        <v>34690.519999999997</v>
      </c>
      <c r="M63" s="85">
        <f t="shared" si="29"/>
        <v>7111.92</v>
      </c>
      <c r="N63" s="85">
        <f t="shared" si="29"/>
        <v>1715.46</v>
      </c>
      <c r="O63" s="85">
        <f t="shared" si="29"/>
        <v>75</v>
      </c>
      <c r="P63" s="85">
        <f t="shared" si="29"/>
        <v>7506.88</v>
      </c>
      <c r="Q63" s="85">
        <f t="shared" si="29"/>
        <v>0</v>
      </c>
      <c r="R63" s="85">
        <f t="shared" si="29"/>
        <v>63195.360000000001</v>
      </c>
      <c r="S63" s="85">
        <f t="shared" si="29"/>
        <v>261804.63999999998</v>
      </c>
    </row>
    <row r="64" spans="1:19" ht="48.6" customHeight="1" thickBot="1" x14ac:dyDescent="0.45">
      <c r="A64" s="101"/>
      <c r="B64" s="157" t="s">
        <v>185</v>
      </c>
      <c r="C64" s="158"/>
      <c r="D64" s="158"/>
      <c r="E64" s="158"/>
      <c r="F64" s="35"/>
      <c r="G64" s="102"/>
      <c r="H64" s="84"/>
      <c r="I64" s="84"/>
      <c r="J64" s="84"/>
      <c r="K64" s="84"/>
      <c r="L64" s="84"/>
      <c r="M64" s="84"/>
      <c r="N64" s="84"/>
      <c r="O64" s="84"/>
      <c r="P64" s="84"/>
      <c r="Q64" s="89"/>
      <c r="R64" s="89"/>
      <c r="S64" s="84"/>
    </row>
    <row r="65" spans="1:19" ht="36.6" customHeight="1" thickBot="1" x14ac:dyDescent="0.45">
      <c r="A65" s="101">
        <v>42</v>
      </c>
      <c r="B65" s="32" t="s">
        <v>186</v>
      </c>
      <c r="C65" s="32">
        <v>45298</v>
      </c>
      <c r="D65" s="26" t="s">
        <v>23</v>
      </c>
      <c r="E65" s="90" t="s">
        <v>187</v>
      </c>
      <c r="F65" s="86" t="s">
        <v>188</v>
      </c>
      <c r="G65" s="103" t="s">
        <v>105</v>
      </c>
      <c r="H65" s="29">
        <v>95000</v>
      </c>
      <c r="I65" s="29">
        <f>H65*2.87%</f>
        <v>2726.5</v>
      </c>
      <c r="J65" s="29">
        <f>H65*3.04%</f>
        <v>2888</v>
      </c>
      <c r="K65" s="29">
        <v>89385.5</v>
      </c>
      <c r="L65" s="29">
        <v>10929.24</v>
      </c>
      <c r="M65" s="29"/>
      <c r="N65" s="29"/>
      <c r="O65" s="29">
        <v>25</v>
      </c>
      <c r="P65" s="29"/>
      <c r="Q65" s="29"/>
      <c r="R65" s="29">
        <f>I65+J65+L65+N65+O65+P65</f>
        <v>16568.739999999998</v>
      </c>
      <c r="S65" s="29">
        <f>H65-R65</f>
        <v>78431.260000000009</v>
      </c>
    </row>
    <row r="66" spans="1:19" ht="36.6" customHeight="1" thickBot="1" x14ac:dyDescent="0.5">
      <c r="A66" s="101"/>
      <c r="B66" s="148" t="s">
        <v>38</v>
      </c>
      <c r="C66" s="149"/>
      <c r="D66" s="149"/>
      <c r="E66" s="149"/>
      <c r="F66" s="150"/>
      <c r="G66" s="102"/>
      <c r="H66" s="85">
        <f>H65</f>
        <v>95000</v>
      </c>
      <c r="I66" s="85">
        <f>I65</f>
        <v>2726.5</v>
      </c>
      <c r="J66" s="85">
        <f t="shared" ref="J66:Q66" si="30">J65</f>
        <v>2888</v>
      </c>
      <c r="K66" s="85">
        <f t="shared" si="30"/>
        <v>89385.5</v>
      </c>
      <c r="L66" s="85">
        <f>L65</f>
        <v>10929.24</v>
      </c>
      <c r="M66" s="85"/>
      <c r="N66" s="85">
        <f t="shared" si="30"/>
        <v>0</v>
      </c>
      <c r="O66" s="85">
        <f t="shared" si="30"/>
        <v>25</v>
      </c>
      <c r="P66" s="85">
        <f t="shared" si="30"/>
        <v>0</v>
      </c>
      <c r="Q66" s="85">
        <f t="shared" si="30"/>
        <v>0</v>
      </c>
      <c r="R66" s="85">
        <f>R65</f>
        <v>16568.739999999998</v>
      </c>
      <c r="S66" s="85">
        <f>S65</f>
        <v>78431.260000000009</v>
      </c>
    </row>
    <row r="67" spans="1:19" s="105" customFormat="1" ht="48.6" customHeight="1" thickBot="1" x14ac:dyDescent="0.45">
      <c r="A67" s="104"/>
      <c r="B67" s="157" t="s">
        <v>189</v>
      </c>
      <c r="C67" s="158"/>
      <c r="D67" s="158"/>
      <c r="E67" s="159"/>
      <c r="G67" s="106"/>
      <c r="H67" s="106"/>
      <c r="I67" s="106"/>
      <c r="J67" s="106"/>
      <c r="K67" s="106"/>
      <c r="L67" s="106"/>
      <c r="M67" s="107"/>
      <c r="N67" s="106"/>
      <c r="O67" s="106"/>
      <c r="P67" s="106"/>
      <c r="Q67" s="106"/>
      <c r="R67" s="106"/>
      <c r="S67" s="108"/>
    </row>
    <row r="68" spans="1:19" s="105" customFormat="1" ht="37.15" customHeight="1" thickBot="1" x14ac:dyDescent="0.45">
      <c r="A68" s="25">
        <v>43</v>
      </c>
      <c r="B68" s="32">
        <v>44198</v>
      </c>
      <c r="C68" s="32">
        <v>45298</v>
      </c>
      <c r="D68" s="26" t="s">
        <v>23</v>
      </c>
      <c r="E68" s="90" t="s">
        <v>190</v>
      </c>
      <c r="F68" s="86" t="s">
        <v>191</v>
      </c>
      <c r="G68" s="103" t="s">
        <v>105</v>
      </c>
      <c r="H68" s="29">
        <v>135000</v>
      </c>
      <c r="I68" s="29">
        <f>H68*2.87%</f>
        <v>3874.5</v>
      </c>
      <c r="J68" s="82">
        <f>H68*3.04%</f>
        <v>4104</v>
      </c>
      <c r="K68" s="29">
        <f>H68-I68-J68</f>
        <v>127021.5</v>
      </c>
      <c r="L68" s="41">
        <v>20338.310000000001</v>
      </c>
      <c r="M68" s="29"/>
      <c r="N68" s="109"/>
      <c r="O68" s="29">
        <v>25</v>
      </c>
      <c r="P68" s="29">
        <v>12370.86</v>
      </c>
      <c r="Q68" s="82">
        <v>0</v>
      </c>
      <c r="R68" s="82">
        <f>I68+J68+L68+N68+O68+P68-Q68</f>
        <v>40712.67</v>
      </c>
      <c r="S68" s="29">
        <f>H68-R68</f>
        <v>94287.33</v>
      </c>
    </row>
    <row r="69" spans="1:19" s="107" customFormat="1" ht="37.15" customHeight="1" thickBot="1" x14ac:dyDescent="0.45">
      <c r="A69" s="25">
        <v>44</v>
      </c>
      <c r="B69" s="32">
        <v>44198</v>
      </c>
      <c r="C69" s="32">
        <v>45298</v>
      </c>
      <c r="D69" s="26" t="s">
        <v>29</v>
      </c>
      <c r="E69" s="90" t="s">
        <v>192</v>
      </c>
      <c r="F69" s="86" t="s">
        <v>137</v>
      </c>
      <c r="G69" s="103" t="s">
        <v>105</v>
      </c>
      <c r="H69" s="29">
        <v>60000</v>
      </c>
      <c r="I69" s="29">
        <f>H69*2.87%</f>
        <v>1722</v>
      </c>
      <c r="J69" s="82">
        <f>H69*3.04%</f>
        <v>1824</v>
      </c>
      <c r="K69" s="29">
        <f>H69-I69-J69</f>
        <v>56454</v>
      </c>
      <c r="L69" s="41">
        <v>0</v>
      </c>
      <c r="M69" s="48">
        <v>6629.37</v>
      </c>
      <c r="N69" s="109"/>
      <c r="O69" s="29">
        <v>25</v>
      </c>
      <c r="P69" s="29"/>
      <c r="Q69" s="82"/>
      <c r="R69" s="82">
        <f>I69+J69+L69+N69+O69+P69</f>
        <v>3571</v>
      </c>
      <c r="S69" s="29">
        <f>H69-R69</f>
        <v>56429</v>
      </c>
    </row>
    <row r="70" spans="1:19" s="107" customFormat="1" ht="48.6" customHeight="1" thickBot="1" x14ac:dyDescent="0.5">
      <c r="A70" s="105"/>
      <c r="B70" s="148" t="s">
        <v>38</v>
      </c>
      <c r="C70" s="149"/>
      <c r="D70" s="149"/>
      <c r="E70" s="149"/>
      <c r="F70" s="150"/>
      <c r="G70" s="110"/>
      <c r="H70" s="85">
        <f>H68+H69</f>
        <v>195000</v>
      </c>
      <c r="I70" s="85">
        <f t="shared" ref="I70:S70" si="31">I68+I69</f>
        <v>5596.5</v>
      </c>
      <c r="J70" s="85">
        <f t="shared" si="31"/>
        <v>5928</v>
      </c>
      <c r="K70" s="85">
        <f t="shared" si="31"/>
        <v>183475.5</v>
      </c>
      <c r="L70" s="85">
        <f t="shared" si="31"/>
        <v>20338.310000000001</v>
      </c>
      <c r="M70" s="85">
        <f t="shared" si="31"/>
        <v>6629.37</v>
      </c>
      <c r="N70" s="85">
        <f t="shared" si="31"/>
        <v>0</v>
      </c>
      <c r="O70" s="85">
        <f t="shared" si="31"/>
        <v>50</v>
      </c>
      <c r="P70" s="85">
        <f t="shared" si="31"/>
        <v>12370.86</v>
      </c>
      <c r="Q70" s="85">
        <f t="shared" si="31"/>
        <v>0</v>
      </c>
      <c r="R70" s="85">
        <f t="shared" si="31"/>
        <v>44283.67</v>
      </c>
      <c r="S70" s="85">
        <f t="shared" si="31"/>
        <v>150716.33000000002</v>
      </c>
    </row>
    <row r="71" spans="1:19" ht="48.6" customHeight="1" thickBot="1" x14ac:dyDescent="0.45">
      <c r="A71" s="25"/>
      <c r="B71" s="158" t="s">
        <v>193</v>
      </c>
      <c r="C71" s="158"/>
      <c r="D71" s="158"/>
      <c r="E71" s="158"/>
      <c r="F71" s="111"/>
      <c r="G71" s="40"/>
      <c r="H71" s="29"/>
      <c r="I71" s="29"/>
      <c r="J71" s="29"/>
      <c r="K71" s="29"/>
      <c r="L71" s="29"/>
      <c r="M71" s="29"/>
      <c r="N71" s="29"/>
      <c r="O71" s="29"/>
      <c r="P71" s="29"/>
      <c r="Q71" s="82"/>
      <c r="R71" s="82"/>
      <c r="S71" s="29"/>
    </row>
    <row r="72" spans="1:19" ht="35.450000000000003" customHeight="1" thickBot="1" x14ac:dyDescent="0.45">
      <c r="A72" s="25">
        <v>45</v>
      </c>
      <c r="B72" s="26">
        <v>44534</v>
      </c>
      <c r="C72" s="26">
        <v>45633</v>
      </c>
      <c r="D72" s="26" t="s">
        <v>23</v>
      </c>
      <c r="E72" s="90" t="s">
        <v>194</v>
      </c>
      <c r="F72" s="90" t="s">
        <v>195</v>
      </c>
      <c r="G72" s="39" t="s">
        <v>105</v>
      </c>
      <c r="H72" s="29">
        <v>140000</v>
      </c>
      <c r="I72" s="29">
        <f>H72*2.87%</f>
        <v>4018</v>
      </c>
      <c r="J72" s="29">
        <f>H72*3.04%</f>
        <v>4256</v>
      </c>
      <c r="K72" s="29">
        <f>H72-I72-J72</f>
        <v>131726</v>
      </c>
      <c r="L72" s="29">
        <v>21514.37</v>
      </c>
      <c r="M72" s="29"/>
      <c r="N72" s="29">
        <v>0</v>
      </c>
      <c r="O72" s="29">
        <v>25</v>
      </c>
      <c r="P72" s="84"/>
      <c r="Q72" s="82">
        <v>0</v>
      </c>
      <c r="R72" s="82">
        <f>I72+J72+L72+N72+O72+P72-Q72</f>
        <v>29813.37</v>
      </c>
      <c r="S72" s="29">
        <f>H72-R72</f>
        <v>110186.63</v>
      </c>
    </row>
    <row r="73" spans="1:19" ht="36.6" customHeight="1" thickBot="1" x14ac:dyDescent="0.45">
      <c r="A73" s="25">
        <v>46</v>
      </c>
      <c r="B73" s="26" t="s">
        <v>196</v>
      </c>
      <c r="C73" s="26" t="s">
        <v>293</v>
      </c>
      <c r="D73" s="26" t="s">
        <v>23</v>
      </c>
      <c r="E73" s="90" t="s">
        <v>198</v>
      </c>
      <c r="F73" s="90" t="s">
        <v>199</v>
      </c>
      <c r="G73" s="39" t="s">
        <v>105</v>
      </c>
      <c r="H73" s="29">
        <v>90000</v>
      </c>
      <c r="I73" s="29">
        <f>H73*2.87%</f>
        <v>2583</v>
      </c>
      <c r="J73" s="29">
        <f>H73*3.04%</f>
        <v>2736</v>
      </c>
      <c r="K73" s="29">
        <f>H73-I73-J73</f>
        <v>84681</v>
      </c>
      <c r="L73" s="29">
        <v>8964.39</v>
      </c>
      <c r="M73" s="29"/>
      <c r="N73" s="29">
        <f>1715.45*2</f>
        <v>3430.9</v>
      </c>
      <c r="O73" s="29">
        <v>25</v>
      </c>
      <c r="P73" s="84"/>
      <c r="Q73" s="89"/>
      <c r="R73" s="82">
        <f>I73+J73+L73+N73+O73+P73</f>
        <v>17739.29</v>
      </c>
      <c r="S73" s="29">
        <f>H73-R73</f>
        <v>72260.709999999992</v>
      </c>
    </row>
    <row r="74" spans="1:19" ht="36.6" customHeight="1" thickBot="1" x14ac:dyDescent="0.45">
      <c r="A74" s="25">
        <v>47</v>
      </c>
      <c r="B74" s="26">
        <v>44564</v>
      </c>
      <c r="C74" s="26">
        <v>45297</v>
      </c>
      <c r="D74" s="26" t="s">
        <v>23</v>
      </c>
      <c r="E74" s="90" t="s">
        <v>200</v>
      </c>
      <c r="F74" s="90" t="s">
        <v>201</v>
      </c>
      <c r="G74" s="39" t="s">
        <v>105</v>
      </c>
      <c r="H74" s="29">
        <v>50000</v>
      </c>
      <c r="I74" s="29">
        <f>H74*2.87%</f>
        <v>1435</v>
      </c>
      <c r="J74" s="29">
        <f>H74*3.04%</f>
        <v>1520</v>
      </c>
      <c r="K74" s="29">
        <f>H74-I74-J74</f>
        <v>47045</v>
      </c>
      <c r="L74" s="29">
        <v>0</v>
      </c>
      <c r="M74" s="29">
        <v>6427.45</v>
      </c>
      <c r="N74" s="29">
        <v>0</v>
      </c>
      <c r="O74" s="29">
        <v>25</v>
      </c>
      <c r="P74" s="84"/>
      <c r="Q74" s="89"/>
      <c r="R74" s="82">
        <f>I74+J74+L74+N74+O74+P74</f>
        <v>2980</v>
      </c>
      <c r="S74" s="29">
        <f>H74-R74</f>
        <v>47020</v>
      </c>
    </row>
    <row r="75" spans="1:19" ht="36.6" customHeight="1" thickBot="1" x14ac:dyDescent="0.5">
      <c r="A75" s="25">
        <v>48</v>
      </c>
      <c r="B75" s="26">
        <v>44565</v>
      </c>
      <c r="C75" s="26">
        <v>45300</v>
      </c>
      <c r="D75" s="26" t="s">
        <v>23</v>
      </c>
      <c r="E75" s="90" t="s">
        <v>202</v>
      </c>
      <c r="F75" s="90" t="s">
        <v>203</v>
      </c>
      <c r="G75" s="39" t="s">
        <v>105</v>
      </c>
      <c r="H75" s="29">
        <v>75000</v>
      </c>
      <c r="I75" s="29">
        <f>H75*2.87%</f>
        <v>2152.5</v>
      </c>
      <c r="J75" s="29">
        <f>H75*3.04%</f>
        <v>2280</v>
      </c>
      <c r="K75" s="29">
        <f>H75-I75-J75</f>
        <v>70567.5</v>
      </c>
      <c r="L75" s="29">
        <v>3431.51</v>
      </c>
      <c r="M75" s="29">
        <v>2877.87</v>
      </c>
      <c r="N75" s="29">
        <v>0</v>
      </c>
      <c r="O75" s="29">
        <v>25</v>
      </c>
      <c r="P75" s="84"/>
      <c r="Q75" s="89"/>
      <c r="R75" s="82">
        <f>I75+J75+L75+N75+O75+P75</f>
        <v>7889.01</v>
      </c>
      <c r="S75" s="29">
        <f>H75-R75</f>
        <v>67110.990000000005</v>
      </c>
    </row>
    <row r="76" spans="1:19" ht="48.6" customHeight="1" thickBot="1" x14ac:dyDescent="0.5">
      <c r="A76" s="111"/>
      <c r="B76" s="148" t="s">
        <v>123</v>
      </c>
      <c r="C76" s="149"/>
      <c r="D76" s="149"/>
      <c r="E76" s="149"/>
      <c r="F76" s="150"/>
      <c r="G76" s="34"/>
      <c r="H76" s="85">
        <f>H72+H73+H74+H75</f>
        <v>355000</v>
      </c>
      <c r="I76" s="85">
        <f t="shared" ref="I76:S76" si="32">I72+I73+I74+I75</f>
        <v>10188.5</v>
      </c>
      <c r="J76" s="85">
        <f t="shared" si="32"/>
        <v>10792</v>
      </c>
      <c r="K76" s="85">
        <f t="shared" si="32"/>
        <v>334019.5</v>
      </c>
      <c r="L76" s="85">
        <f t="shared" si="32"/>
        <v>33910.269999999997</v>
      </c>
      <c r="M76" s="85">
        <f t="shared" si="32"/>
        <v>9305.32</v>
      </c>
      <c r="N76" s="85">
        <f t="shared" si="32"/>
        <v>3430.9</v>
      </c>
      <c r="O76" s="85">
        <f t="shared" si="32"/>
        <v>100</v>
      </c>
      <c r="P76" s="85">
        <f t="shared" si="32"/>
        <v>0</v>
      </c>
      <c r="Q76" s="85">
        <f t="shared" si="32"/>
        <v>0</v>
      </c>
      <c r="R76" s="85">
        <f t="shared" si="32"/>
        <v>58421.670000000006</v>
      </c>
      <c r="S76" s="85">
        <f t="shared" si="32"/>
        <v>296578.33</v>
      </c>
    </row>
    <row r="77" spans="1:19" ht="48.6" customHeight="1" thickBot="1" x14ac:dyDescent="0.45">
      <c r="A77" s="111"/>
      <c r="B77" s="157" t="s">
        <v>204</v>
      </c>
      <c r="C77" s="168"/>
      <c r="D77" s="158"/>
      <c r="E77" s="159"/>
      <c r="F77" s="111"/>
      <c r="G77" s="34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84"/>
    </row>
    <row r="78" spans="1:19" ht="48" customHeight="1" thickBot="1" x14ac:dyDescent="0.45">
      <c r="A78" s="25">
        <v>49</v>
      </c>
      <c r="B78" s="32" t="s">
        <v>125</v>
      </c>
      <c r="C78" s="26">
        <v>45633</v>
      </c>
      <c r="D78" s="39" t="s">
        <v>29</v>
      </c>
      <c r="E78" s="90" t="s">
        <v>205</v>
      </c>
      <c r="F78" s="112" t="s">
        <v>206</v>
      </c>
      <c r="G78" s="39" t="s">
        <v>105</v>
      </c>
      <c r="H78" s="29">
        <v>245000</v>
      </c>
      <c r="I78" s="29">
        <f>H78*2.87%</f>
        <v>7031.5</v>
      </c>
      <c r="J78" s="29">
        <f>193525*3.04%</f>
        <v>5883.16</v>
      </c>
      <c r="K78" s="29">
        <f>H78-I78-J78</f>
        <v>232085.34</v>
      </c>
      <c r="L78" s="29">
        <v>46604.2</v>
      </c>
      <c r="M78" s="41"/>
      <c r="N78" s="84"/>
      <c r="O78" s="29">
        <v>25</v>
      </c>
      <c r="P78" s="99"/>
      <c r="Q78" s="84"/>
      <c r="R78" s="82">
        <f>I78+J78+L78+N78+O78+P78</f>
        <v>59543.86</v>
      </c>
      <c r="S78" s="29">
        <f>H78-R78</f>
        <v>185456.14</v>
      </c>
    </row>
    <row r="79" spans="1:19" ht="48.6" customHeight="1" thickBot="1" x14ac:dyDescent="0.45">
      <c r="A79" s="25">
        <v>50</v>
      </c>
      <c r="B79" s="32">
        <v>44936</v>
      </c>
      <c r="C79" s="26">
        <v>45300</v>
      </c>
      <c r="D79" s="39" t="s">
        <v>29</v>
      </c>
      <c r="E79" s="90" t="s">
        <v>207</v>
      </c>
      <c r="F79" s="112" t="s">
        <v>208</v>
      </c>
      <c r="G79" s="39" t="s">
        <v>105</v>
      </c>
      <c r="H79" s="29">
        <v>80000</v>
      </c>
      <c r="I79" s="29">
        <f>H79*2.87%</f>
        <v>2296</v>
      </c>
      <c r="J79" s="29">
        <f>H79*3.04%</f>
        <v>2432</v>
      </c>
      <c r="K79" s="29">
        <f t="shared" ref="K79:K82" si="33">H79-I79-J79</f>
        <v>75272</v>
      </c>
      <c r="L79" s="29">
        <v>0</v>
      </c>
      <c r="M79" s="41">
        <v>27202.82</v>
      </c>
      <c r="N79" s="84"/>
      <c r="O79" s="29">
        <v>25</v>
      </c>
      <c r="P79" s="99"/>
      <c r="Q79" s="84"/>
      <c r="R79" s="82">
        <f>I79+J79+L79+N79+O79+P79</f>
        <v>4753</v>
      </c>
      <c r="S79" s="29">
        <f>H79-R79</f>
        <v>75247</v>
      </c>
    </row>
    <row r="80" spans="1:19" ht="48.6" customHeight="1" thickBot="1" x14ac:dyDescent="0.5">
      <c r="A80" s="25">
        <v>51</v>
      </c>
      <c r="B80" s="32">
        <v>44572</v>
      </c>
      <c r="C80" s="26">
        <v>45633</v>
      </c>
      <c r="D80" s="39" t="s">
        <v>29</v>
      </c>
      <c r="E80" s="90" t="s">
        <v>209</v>
      </c>
      <c r="F80" s="112" t="s">
        <v>210</v>
      </c>
      <c r="G80" s="39" t="s">
        <v>105</v>
      </c>
      <c r="H80" s="29">
        <v>105000</v>
      </c>
      <c r="I80" s="29">
        <f t="shared" ref="I80:I82" si="34">H80*2.87%</f>
        <v>3013.5</v>
      </c>
      <c r="J80" s="29">
        <f t="shared" ref="J80:J82" si="35">H80*3.04%</f>
        <v>3192</v>
      </c>
      <c r="K80" s="29">
        <f t="shared" si="33"/>
        <v>98794.5</v>
      </c>
      <c r="L80" s="29">
        <v>13281.49</v>
      </c>
      <c r="M80" s="41"/>
      <c r="N80" s="84"/>
      <c r="O80" s="29">
        <v>25</v>
      </c>
      <c r="P80" s="99"/>
      <c r="Q80" s="84"/>
      <c r="R80" s="82">
        <f t="shared" ref="R80:R82" si="36">I80+J80+L80+N80+O80+P80</f>
        <v>19511.989999999998</v>
      </c>
      <c r="S80" s="29">
        <f t="shared" ref="S80:S82" si="37">H80-R80</f>
        <v>85488.010000000009</v>
      </c>
    </row>
    <row r="81" spans="1:19" ht="48" customHeight="1" thickBot="1" x14ac:dyDescent="0.45">
      <c r="A81" s="25">
        <v>52</v>
      </c>
      <c r="B81" s="32">
        <v>44572</v>
      </c>
      <c r="C81" s="26">
        <v>45633</v>
      </c>
      <c r="D81" s="39" t="s">
        <v>29</v>
      </c>
      <c r="E81" s="90" t="s">
        <v>211</v>
      </c>
      <c r="F81" s="112" t="s">
        <v>286</v>
      </c>
      <c r="G81" s="39" t="s">
        <v>105</v>
      </c>
      <c r="H81" s="29">
        <v>70000</v>
      </c>
      <c r="I81" s="29">
        <f t="shared" si="34"/>
        <v>2009</v>
      </c>
      <c r="J81" s="29">
        <f t="shared" si="35"/>
        <v>2128</v>
      </c>
      <c r="K81" s="29">
        <f t="shared" si="33"/>
        <v>65863</v>
      </c>
      <c r="L81" s="29">
        <v>0</v>
      </c>
      <c r="M81" s="41">
        <v>5390.02</v>
      </c>
      <c r="N81" s="84"/>
      <c r="O81" s="29">
        <v>25</v>
      </c>
      <c r="P81" s="99"/>
      <c r="Q81" s="84"/>
      <c r="R81" s="82">
        <f t="shared" si="36"/>
        <v>4162</v>
      </c>
      <c r="S81" s="29">
        <f t="shared" si="37"/>
        <v>65838</v>
      </c>
    </row>
    <row r="82" spans="1:19" ht="48.6" customHeight="1" thickBot="1" x14ac:dyDescent="0.45">
      <c r="A82" s="25">
        <v>53</v>
      </c>
      <c r="B82" s="32">
        <v>44958</v>
      </c>
      <c r="C82" s="26">
        <v>45633</v>
      </c>
      <c r="D82" s="39" t="s">
        <v>23</v>
      </c>
      <c r="E82" s="90" t="s">
        <v>213</v>
      </c>
      <c r="F82" s="112" t="s">
        <v>285</v>
      </c>
      <c r="G82" s="39" t="s">
        <v>105</v>
      </c>
      <c r="H82" s="29">
        <v>95000</v>
      </c>
      <c r="I82" s="29">
        <f t="shared" si="34"/>
        <v>2726.5</v>
      </c>
      <c r="J82" s="29">
        <f t="shared" si="35"/>
        <v>2888</v>
      </c>
      <c r="K82" s="29">
        <f t="shared" si="33"/>
        <v>89385.5</v>
      </c>
      <c r="L82" s="29">
        <v>10929.24</v>
      </c>
      <c r="M82" s="41"/>
      <c r="N82" s="84"/>
      <c r="O82" s="29">
        <v>25</v>
      </c>
      <c r="P82" s="41">
        <v>0</v>
      </c>
      <c r="Q82" s="84"/>
      <c r="R82" s="82">
        <f t="shared" si="36"/>
        <v>16568.739999999998</v>
      </c>
      <c r="S82" s="29">
        <f t="shared" si="37"/>
        <v>78431.260000000009</v>
      </c>
    </row>
    <row r="83" spans="1:19" ht="48.6" customHeight="1" thickBot="1" x14ac:dyDescent="0.5">
      <c r="A83" s="25"/>
      <c r="B83" s="148" t="s">
        <v>123</v>
      </c>
      <c r="C83" s="149"/>
      <c r="D83" s="149"/>
      <c r="E83" s="149"/>
      <c r="F83" s="150"/>
      <c r="G83" s="84"/>
      <c r="H83" s="85">
        <f>H78+H79+H80+H81+H82</f>
        <v>595000</v>
      </c>
      <c r="I83" s="85">
        <f t="shared" ref="I83:K83" si="38">I78+I79+I80+I81+I82</f>
        <v>17076.5</v>
      </c>
      <c r="J83" s="85">
        <f t="shared" si="38"/>
        <v>16523.16</v>
      </c>
      <c r="K83" s="85">
        <f t="shared" si="38"/>
        <v>561400.34</v>
      </c>
      <c r="L83" s="85">
        <f>L78+L79+L80+L81+L82</f>
        <v>70814.929999999993</v>
      </c>
      <c r="M83" s="85">
        <f t="shared" ref="M83:S83" si="39">M78+M79+M80+M81+M82</f>
        <v>32592.84</v>
      </c>
      <c r="N83" s="85">
        <f t="shared" si="39"/>
        <v>0</v>
      </c>
      <c r="O83" s="85">
        <f t="shared" si="39"/>
        <v>125</v>
      </c>
      <c r="P83" s="85">
        <f t="shared" si="39"/>
        <v>0</v>
      </c>
      <c r="Q83" s="85">
        <f t="shared" si="39"/>
        <v>0</v>
      </c>
      <c r="R83" s="85">
        <f t="shared" si="39"/>
        <v>104539.59</v>
      </c>
      <c r="S83" s="85">
        <f t="shared" si="39"/>
        <v>490460.41000000003</v>
      </c>
    </row>
    <row r="84" spans="1:19" ht="48.6" customHeight="1" thickBot="1" x14ac:dyDescent="0.45">
      <c r="A84" s="25"/>
      <c r="B84" s="157" t="s">
        <v>215</v>
      </c>
      <c r="C84" s="158"/>
      <c r="D84" s="158"/>
      <c r="E84" s="158"/>
      <c r="F84" s="35"/>
      <c r="G84" s="34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84"/>
    </row>
    <row r="85" spans="1:19" ht="36.6" customHeight="1" thickBot="1" x14ac:dyDescent="0.45">
      <c r="A85" s="25">
        <v>54</v>
      </c>
      <c r="B85" s="32">
        <v>43840</v>
      </c>
      <c r="C85" s="32">
        <v>45298</v>
      </c>
      <c r="D85" s="26" t="s">
        <v>23</v>
      </c>
      <c r="E85" s="90" t="s">
        <v>216</v>
      </c>
      <c r="F85" s="90" t="s">
        <v>217</v>
      </c>
      <c r="G85" s="39" t="s">
        <v>105</v>
      </c>
      <c r="H85" s="29">
        <v>250000</v>
      </c>
      <c r="I85" s="41">
        <f t="shared" ref="I85:I95" si="40">H85*2.87%</f>
        <v>7175</v>
      </c>
      <c r="J85" s="29">
        <f>193525*3.04%</f>
        <v>5883.16</v>
      </c>
      <c r="K85" s="41">
        <f t="shared" ref="K85:K95" si="41">H85-I85-J85</f>
        <v>236941.84</v>
      </c>
      <c r="L85" s="82">
        <v>47473.4</v>
      </c>
      <c r="M85" s="29"/>
      <c r="N85" s="29">
        <v>1715.46</v>
      </c>
      <c r="O85" s="29">
        <v>25</v>
      </c>
      <c r="P85" s="29"/>
      <c r="Q85" s="109">
        <v>0</v>
      </c>
      <c r="R85" s="82">
        <f>I85+J85+N85+O85+P85+L85-Q85</f>
        <v>62272.020000000004</v>
      </c>
      <c r="S85" s="29">
        <f>H85-R85</f>
        <v>187727.97999999998</v>
      </c>
    </row>
    <row r="86" spans="1:19" ht="36.6" customHeight="1" thickBot="1" x14ac:dyDescent="0.45">
      <c r="A86" s="25">
        <v>55</v>
      </c>
      <c r="B86" s="32" t="s">
        <v>218</v>
      </c>
      <c r="C86" s="32">
        <v>45298</v>
      </c>
      <c r="D86" s="26" t="s">
        <v>29</v>
      </c>
      <c r="E86" s="90" t="s">
        <v>219</v>
      </c>
      <c r="F86" s="90" t="s">
        <v>220</v>
      </c>
      <c r="G86" s="39" t="s">
        <v>105</v>
      </c>
      <c r="H86" s="29">
        <v>165000</v>
      </c>
      <c r="I86" s="41">
        <f t="shared" si="40"/>
        <v>4735.5</v>
      </c>
      <c r="J86" s="29">
        <f t="shared" ref="J86:J95" si="42">H86*3.04%</f>
        <v>5016</v>
      </c>
      <c r="K86" s="41">
        <f t="shared" si="41"/>
        <v>155248.5</v>
      </c>
      <c r="L86" s="82">
        <v>27394.99</v>
      </c>
      <c r="M86" s="29"/>
      <c r="N86" s="29"/>
      <c r="O86" s="29">
        <v>25</v>
      </c>
      <c r="P86" s="29"/>
      <c r="Q86" s="109"/>
      <c r="R86" s="82">
        <f t="shared" ref="R86:R95" si="43">I86+J86+L86+N86+O86+P86</f>
        <v>37171.490000000005</v>
      </c>
      <c r="S86" s="29">
        <f t="shared" ref="S86:S95" si="44">H86-R86</f>
        <v>127828.51</v>
      </c>
    </row>
    <row r="87" spans="1:19" ht="36" customHeight="1" thickBot="1" x14ac:dyDescent="0.5">
      <c r="A87" s="25">
        <v>56</v>
      </c>
      <c r="B87" s="32">
        <v>44200</v>
      </c>
      <c r="C87" s="32">
        <v>45298</v>
      </c>
      <c r="D87" s="26" t="s">
        <v>23</v>
      </c>
      <c r="E87" s="90" t="s">
        <v>221</v>
      </c>
      <c r="F87" s="112" t="s">
        <v>222</v>
      </c>
      <c r="G87" s="39" t="s">
        <v>105</v>
      </c>
      <c r="H87" s="29">
        <v>95000</v>
      </c>
      <c r="I87" s="41">
        <f t="shared" si="40"/>
        <v>2726.5</v>
      </c>
      <c r="J87" s="29">
        <f t="shared" si="42"/>
        <v>2888</v>
      </c>
      <c r="K87" s="41">
        <f t="shared" si="41"/>
        <v>89385.5</v>
      </c>
      <c r="L87" s="82">
        <v>10929.31</v>
      </c>
      <c r="M87" s="29"/>
      <c r="N87" s="29"/>
      <c r="O87" s="29">
        <v>25</v>
      </c>
      <c r="P87" s="29"/>
      <c r="Q87" s="109"/>
      <c r="R87" s="82">
        <f t="shared" si="43"/>
        <v>16568.809999999998</v>
      </c>
      <c r="S87" s="29">
        <f t="shared" si="44"/>
        <v>78431.19</v>
      </c>
    </row>
    <row r="88" spans="1:19" ht="37.15" customHeight="1" thickBot="1" x14ac:dyDescent="0.45">
      <c r="A88" s="25">
        <v>57</v>
      </c>
      <c r="B88" s="32">
        <v>44206</v>
      </c>
      <c r="C88" s="32">
        <v>45298</v>
      </c>
      <c r="D88" s="26" t="s">
        <v>29</v>
      </c>
      <c r="E88" s="90" t="s">
        <v>223</v>
      </c>
      <c r="F88" s="90" t="s">
        <v>281</v>
      </c>
      <c r="G88" s="39" t="s">
        <v>105</v>
      </c>
      <c r="H88" s="29">
        <v>75000</v>
      </c>
      <c r="I88" s="41">
        <f t="shared" si="40"/>
        <v>2152.5</v>
      </c>
      <c r="J88" s="29">
        <f t="shared" si="42"/>
        <v>2280</v>
      </c>
      <c r="K88" s="41">
        <f t="shared" si="41"/>
        <v>70567.5</v>
      </c>
      <c r="L88" s="82">
        <v>6309.38</v>
      </c>
      <c r="M88" s="29"/>
      <c r="N88" s="29"/>
      <c r="O88" s="29">
        <v>25</v>
      </c>
      <c r="P88" s="29"/>
      <c r="Q88" s="82">
        <v>0</v>
      </c>
      <c r="R88" s="82">
        <f>I88+J88+L88+N88+O88+P88-Q88</f>
        <v>10766.880000000001</v>
      </c>
      <c r="S88" s="29">
        <f>H88-R88</f>
        <v>64233.119999999995</v>
      </c>
    </row>
    <row r="89" spans="1:19" ht="62.45" customHeight="1" thickBot="1" x14ac:dyDescent="0.45">
      <c r="A89" s="25">
        <v>58</v>
      </c>
      <c r="B89" s="32" t="s">
        <v>225</v>
      </c>
      <c r="C89" s="32" t="s">
        <v>294</v>
      </c>
      <c r="D89" s="26" t="s">
        <v>23</v>
      </c>
      <c r="E89" s="90" t="s">
        <v>226</v>
      </c>
      <c r="F89" s="113" t="s">
        <v>224</v>
      </c>
      <c r="G89" s="26" t="s">
        <v>105</v>
      </c>
      <c r="H89" s="29">
        <v>80000</v>
      </c>
      <c r="I89" s="41">
        <f t="shared" si="40"/>
        <v>2296</v>
      </c>
      <c r="J89" s="29">
        <f t="shared" si="42"/>
        <v>2432</v>
      </c>
      <c r="K89" s="29">
        <f t="shared" si="41"/>
        <v>75272</v>
      </c>
      <c r="L89" s="82">
        <v>7400.87</v>
      </c>
      <c r="M89" s="29"/>
      <c r="N89" s="29"/>
      <c r="O89" s="29">
        <v>25</v>
      </c>
      <c r="P89" s="29"/>
      <c r="Q89" s="82"/>
      <c r="R89" s="82">
        <f t="shared" si="43"/>
        <v>12153.869999999999</v>
      </c>
      <c r="S89" s="29">
        <f t="shared" si="44"/>
        <v>67846.13</v>
      </c>
    </row>
    <row r="90" spans="1:19" ht="48.6" customHeight="1" thickBot="1" x14ac:dyDescent="0.45">
      <c r="A90" s="25">
        <v>59</v>
      </c>
      <c r="B90" s="32">
        <v>44958</v>
      </c>
      <c r="C90" s="32">
        <v>45297</v>
      </c>
      <c r="D90" s="26" t="s">
        <v>29</v>
      </c>
      <c r="E90" s="90" t="s">
        <v>229</v>
      </c>
      <c r="F90" s="113" t="s">
        <v>228</v>
      </c>
      <c r="G90" s="26" t="s">
        <v>105</v>
      </c>
      <c r="H90" s="29">
        <v>70000</v>
      </c>
      <c r="I90" s="41">
        <f t="shared" si="40"/>
        <v>2009</v>
      </c>
      <c r="J90" s="29">
        <f t="shared" si="42"/>
        <v>2128</v>
      </c>
      <c r="K90" s="29">
        <f t="shared" si="41"/>
        <v>65863</v>
      </c>
      <c r="L90" s="41">
        <v>1780.06</v>
      </c>
      <c r="M90" s="29">
        <v>3588.42</v>
      </c>
      <c r="N90" s="29"/>
      <c r="O90" s="29">
        <v>25</v>
      </c>
      <c r="P90" s="29"/>
      <c r="Q90" s="82"/>
      <c r="R90" s="82">
        <f t="shared" si="43"/>
        <v>5942.0599999999995</v>
      </c>
      <c r="S90" s="29">
        <f t="shared" si="44"/>
        <v>64057.94</v>
      </c>
    </row>
    <row r="91" spans="1:19" ht="61.15" customHeight="1" thickBot="1" x14ac:dyDescent="0.45">
      <c r="A91" s="25">
        <v>60</v>
      </c>
      <c r="B91" s="32">
        <v>45023</v>
      </c>
      <c r="C91" s="32">
        <v>45297</v>
      </c>
      <c r="D91" s="26" t="s">
        <v>29</v>
      </c>
      <c r="E91" s="90" t="s">
        <v>230</v>
      </c>
      <c r="F91" s="113" t="s">
        <v>231</v>
      </c>
      <c r="G91" s="26" t="s">
        <v>105</v>
      </c>
      <c r="H91" s="29">
        <v>140000</v>
      </c>
      <c r="I91" s="41">
        <f t="shared" si="40"/>
        <v>4018</v>
      </c>
      <c r="J91" s="29">
        <f t="shared" si="42"/>
        <v>4256</v>
      </c>
      <c r="K91" s="29">
        <f t="shared" si="41"/>
        <v>131726</v>
      </c>
      <c r="L91" s="82">
        <v>21514.37</v>
      </c>
      <c r="M91" s="29"/>
      <c r="N91" s="29">
        <v>0</v>
      </c>
      <c r="O91" s="29">
        <v>25</v>
      </c>
      <c r="P91" s="29"/>
      <c r="Q91" s="82"/>
      <c r="R91" s="82">
        <f t="shared" si="43"/>
        <v>29813.37</v>
      </c>
      <c r="S91" s="29">
        <f t="shared" si="44"/>
        <v>110186.63</v>
      </c>
    </row>
    <row r="92" spans="1:19" ht="61.15" customHeight="1" thickBot="1" x14ac:dyDescent="0.45">
      <c r="A92" s="25">
        <v>61</v>
      </c>
      <c r="B92" s="32" t="s">
        <v>232</v>
      </c>
      <c r="C92" s="32">
        <v>45302</v>
      </c>
      <c r="D92" s="26" t="s">
        <v>29</v>
      </c>
      <c r="E92" s="90" t="s">
        <v>233</v>
      </c>
      <c r="F92" s="113" t="s">
        <v>224</v>
      </c>
      <c r="G92" s="26" t="s">
        <v>105</v>
      </c>
      <c r="H92" s="29">
        <v>75000</v>
      </c>
      <c r="I92" s="41">
        <f t="shared" si="40"/>
        <v>2152.5</v>
      </c>
      <c r="J92" s="29">
        <f t="shared" si="42"/>
        <v>2280</v>
      </c>
      <c r="K92" s="29">
        <f t="shared" si="41"/>
        <v>70567.5</v>
      </c>
      <c r="L92" s="41">
        <v>0</v>
      </c>
      <c r="M92" s="29">
        <v>15659.16</v>
      </c>
      <c r="N92" s="29">
        <v>0</v>
      </c>
      <c r="O92" s="29">
        <v>25</v>
      </c>
      <c r="P92" s="29"/>
      <c r="Q92" s="82"/>
      <c r="R92" s="82">
        <f t="shared" si="43"/>
        <v>4457.5</v>
      </c>
      <c r="S92" s="29">
        <f t="shared" si="44"/>
        <v>70542.5</v>
      </c>
    </row>
    <row r="93" spans="1:19" ht="61.15" customHeight="1" thickBot="1" x14ac:dyDescent="0.45">
      <c r="A93" s="25">
        <v>62</v>
      </c>
      <c r="B93" s="32" t="s">
        <v>263</v>
      </c>
      <c r="C93" s="32">
        <v>45300</v>
      </c>
      <c r="D93" s="26" t="s">
        <v>29</v>
      </c>
      <c r="E93" s="90" t="s">
        <v>264</v>
      </c>
      <c r="F93" s="113" t="s">
        <v>228</v>
      </c>
      <c r="G93" s="26" t="s">
        <v>105</v>
      </c>
      <c r="H93" s="29">
        <v>60000</v>
      </c>
      <c r="I93" s="41">
        <f t="shared" si="40"/>
        <v>1722</v>
      </c>
      <c r="J93" s="29">
        <f t="shared" si="42"/>
        <v>1824</v>
      </c>
      <c r="K93" s="29">
        <f t="shared" si="41"/>
        <v>56454</v>
      </c>
      <c r="L93" s="41">
        <v>3486.68</v>
      </c>
      <c r="M93" s="29"/>
      <c r="N93" s="29">
        <v>0</v>
      </c>
      <c r="O93" s="29">
        <v>25</v>
      </c>
      <c r="P93" s="29"/>
      <c r="Q93" s="82"/>
      <c r="R93" s="82">
        <f t="shared" si="43"/>
        <v>7057.68</v>
      </c>
      <c r="S93" s="29">
        <f t="shared" si="44"/>
        <v>52942.32</v>
      </c>
    </row>
    <row r="94" spans="1:19" ht="61.15" customHeight="1" thickBot="1" x14ac:dyDescent="0.5">
      <c r="A94" s="25">
        <v>63</v>
      </c>
      <c r="B94" s="32">
        <v>45294</v>
      </c>
      <c r="C94" s="32">
        <v>45300</v>
      </c>
      <c r="D94" s="26" t="s">
        <v>29</v>
      </c>
      <c r="E94" s="90" t="s">
        <v>268</v>
      </c>
      <c r="F94" s="113" t="s">
        <v>269</v>
      </c>
      <c r="G94" s="26" t="s">
        <v>105</v>
      </c>
      <c r="H94" s="29">
        <v>82000</v>
      </c>
      <c r="I94" s="41">
        <f t="shared" si="40"/>
        <v>2353.4</v>
      </c>
      <c r="J94" s="29">
        <f t="shared" si="42"/>
        <v>2492.8000000000002</v>
      </c>
      <c r="K94" s="29">
        <f t="shared" si="41"/>
        <v>77153.8</v>
      </c>
      <c r="L94" s="41">
        <v>5813.8</v>
      </c>
      <c r="M94" s="29"/>
      <c r="N94" s="29">
        <v>0</v>
      </c>
      <c r="O94" s="29">
        <v>25</v>
      </c>
      <c r="P94" s="29"/>
      <c r="Q94" s="82"/>
      <c r="R94" s="82">
        <f t="shared" si="43"/>
        <v>10685</v>
      </c>
      <c r="S94" s="29">
        <f t="shared" si="44"/>
        <v>71315</v>
      </c>
    </row>
    <row r="95" spans="1:19" ht="61.15" customHeight="1" thickBot="1" x14ac:dyDescent="0.45">
      <c r="A95" s="25">
        <v>64</v>
      </c>
      <c r="B95" s="32">
        <v>45294</v>
      </c>
      <c r="C95" s="32">
        <v>45300</v>
      </c>
      <c r="D95" s="26" t="s">
        <v>29</v>
      </c>
      <c r="E95" s="90" t="s">
        <v>270</v>
      </c>
      <c r="F95" s="113" t="s">
        <v>284</v>
      </c>
      <c r="G95" s="26" t="s">
        <v>105</v>
      </c>
      <c r="H95" s="29">
        <v>55000</v>
      </c>
      <c r="I95" s="41">
        <f t="shared" si="40"/>
        <v>1578.5</v>
      </c>
      <c r="J95" s="29">
        <f t="shared" si="42"/>
        <v>1672</v>
      </c>
      <c r="K95" s="29">
        <f t="shared" si="41"/>
        <v>51749.5</v>
      </c>
      <c r="L95" s="41">
        <v>3899.5000000000005</v>
      </c>
      <c r="M95" s="29"/>
      <c r="N95" s="29">
        <v>0</v>
      </c>
      <c r="O95" s="29">
        <v>25</v>
      </c>
      <c r="P95" s="29"/>
      <c r="Q95" s="82"/>
      <c r="R95" s="82">
        <f t="shared" si="43"/>
        <v>7175</v>
      </c>
      <c r="S95" s="29">
        <f t="shared" si="44"/>
        <v>47825</v>
      </c>
    </row>
    <row r="96" spans="1:19" ht="48.6" customHeight="1" thickBot="1" x14ac:dyDescent="0.5">
      <c r="A96" s="111"/>
      <c r="B96" s="148" t="s">
        <v>123</v>
      </c>
      <c r="C96" s="149"/>
      <c r="D96" s="149"/>
      <c r="E96" s="149"/>
      <c r="F96" s="149"/>
      <c r="G96" s="34"/>
      <c r="H96" s="85">
        <f>H85+H86+H87+H88+H89+H90+H91+H92+H93+H94+H95</f>
        <v>1147000</v>
      </c>
      <c r="I96" s="85">
        <f t="shared" ref="I96:S96" si="45">I85+I86+I87+I88+I89+I90+I91+I92+I93+I94+I95</f>
        <v>32918.9</v>
      </c>
      <c r="J96" s="85">
        <f t="shared" si="45"/>
        <v>33151.96</v>
      </c>
      <c r="K96" s="85">
        <f t="shared" si="45"/>
        <v>1080929.1400000001</v>
      </c>
      <c r="L96" s="85">
        <f t="shared" si="45"/>
        <v>136002.35999999999</v>
      </c>
      <c r="M96" s="85">
        <f t="shared" si="45"/>
        <v>19247.580000000002</v>
      </c>
      <c r="N96" s="85">
        <f t="shared" si="45"/>
        <v>1715.46</v>
      </c>
      <c r="O96" s="85">
        <f t="shared" si="45"/>
        <v>275</v>
      </c>
      <c r="P96" s="85">
        <f t="shared" si="45"/>
        <v>0</v>
      </c>
      <c r="Q96" s="85">
        <f t="shared" si="45"/>
        <v>0</v>
      </c>
      <c r="R96" s="85">
        <f t="shared" si="45"/>
        <v>204063.68</v>
      </c>
      <c r="S96" s="85">
        <f t="shared" si="45"/>
        <v>942936.31999999983</v>
      </c>
    </row>
    <row r="97" spans="1:19" ht="48.6" customHeight="1" thickBot="1" x14ac:dyDescent="0.45">
      <c r="A97" s="111"/>
      <c r="B97" s="157" t="s">
        <v>235</v>
      </c>
      <c r="C97" s="158"/>
      <c r="D97" s="158"/>
      <c r="E97" s="158"/>
      <c r="F97" s="35"/>
      <c r="G97" s="34"/>
      <c r="H97" s="84"/>
      <c r="I97" s="84"/>
      <c r="J97" s="84"/>
      <c r="K97" s="84"/>
      <c r="L97" s="84"/>
      <c r="M97" s="84"/>
      <c r="N97" s="84"/>
      <c r="O97" s="84"/>
      <c r="P97" s="84"/>
      <c r="Q97" s="89"/>
      <c r="R97" s="89"/>
      <c r="S97" s="84"/>
    </row>
    <row r="98" spans="1:19" ht="37.5" customHeight="1" thickBot="1" x14ac:dyDescent="0.45">
      <c r="A98" s="25">
        <v>65</v>
      </c>
      <c r="B98" s="26" t="s">
        <v>236</v>
      </c>
      <c r="C98" s="26">
        <v>45301</v>
      </c>
      <c r="D98" s="27" t="s">
        <v>29</v>
      </c>
      <c r="E98" s="28" t="s">
        <v>237</v>
      </c>
      <c r="F98" s="28" t="s">
        <v>238</v>
      </c>
      <c r="G98" s="27" t="s">
        <v>105</v>
      </c>
      <c r="H98" s="29">
        <v>115000</v>
      </c>
      <c r="I98" s="30">
        <f>+H98*2.87%</f>
        <v>3300.5</v>
      </c>
      <c r="J98" s="30">
        <f t="shared" ref="J98" si="46">H98*3.04%</f>
        <v>3496</v>
      </c>
      <c r="K98" s="30">
        <f>H98-I98-J98</f>
        <v>108203.5</v>
      </c>
      <c r="L98" s="51">
        <v>15633.74</v>
      </c>
      <c r="M98" s="51"/>
      <c r="N98" s="30"/>
      <c r="O98" s="30">
        <v>25</v>
      </c>
      <c r="P98" s="30"/>
      <c r="Q98" s="87">
        <v>0</v>
      </c>
      <c r="R98" s="87">
        <f>I98+J98+L98+N98+O98+P98-Q98</f>
        <v>22455.239999999998</v>
      </c>
      <c r="S98" s="30">
        <f>H98-R98</f>
        <v>92544.760000000009</v>
      </c>
    </row>
    <row r="99" spans="1:19" ht="37.5" customHeight="1" thickBot="1" x14ac:dyDescent="0.5">
      <c r="A99" s="25"/>
      <c r="B99" s="32"/>
      <c r="C99" s="39"/>
      <c r="D99" s="100"/>
      <c r="E99" s="50"/>
      <c r="F99" s="28"/>
      <c r="G99" s="27"/>
      <c r="H99" s="114">
        <f>H98</f>
        <v>115000</v>
      </c>
      <c r="I99" s="114">
        <f>I98</f>
        <v>3300.5</v>
      </c>
      <c r="J99" s="114">
        <f>J98</f>
        <v>3496</v>
      </c>
      <c r="K99" s="114">
        <f t="shared" ref="K99:R99" si="47">K98</f>
        <v>108203.5</v>
      </c>
      <c r="L99" s="114">
        <f>L98</f>
        <v>15633.74</v>
      </c>
      <c r="M99" s="114"/>
      <c r="N99" s="114">
        <f t="shared" si="47"/>
        <v>0</v>
      </c>
      <c r="O99" s="114">
        <f t="shared" si="47"/>
        <v>25</v>
      </c>
      <c r="P99" s="114">
        <f t="shared" si="47"/>
        <v>0</v>
      </c>
      <c r="Q99" s="114">
        <f t="shared" si="47"/>
        <v>0</v>
      </c>
      <c r="R99" s="115">
        <f t="shared" si="47"/>
        <v>22455.239999999998</v>
      </c>
      <c r="S99" s="114">
        <f>S98</f>
        <v>92544.760000000009</v>
      </c>
    </row>
    <row r="100" spans="1:19" ht="48.6" customHeight="1" thickBot="1" x14ac:dyDescent="0.45">
      <c r="A100" s="25"/>
      <c r="B100" s="157" t="s">
        <v>239</v>
      </c>
      <c r="C100" s="158"/>
      <c r="D100" s="158"/>
      <c r="E100" s="159"/>
      <c r="F100" s="28"/>
      <c r="G100" s="116"/>
      <c r="H100" s="117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9"/>
    </row>
    <row r="101" spans="1:19" ht="37.15" customHeight="1" thickBot="1" x14ac:dyDescent="0.45">
      <c r="A101" s="25">
        <v>66</v>
      </c>
      <c r="B101" s="26">
        <v>44113</v>
      </c>
      <c r="C101" s="26">
        <v>45301</v>
      </c>
      <c r="D101" s="27" t="s">
        <v>23</v>
      </c>
      <c r="E101" s="28" t="s">
        <v>240</v>
      </c>
      <c r="F101" s="28" t="s">
        <v>241</v>
      </c>
      <c r="G101" s="27" t="s">
        <v>105</v>
      </c>
      <c r="H101" s="48">
        <v>250000</v>
      </c>
      <c r="I101" s="49">
        <f t="shared" ref="I101:I109" si="48">+H101*2.87%</f>
        <v>7175</v>
      </c>
      <c r="J101" s="49">
        <f>193525*3.04%</f>
        <v>5883.16</v>
      </c>
      <c r="K101" s="49">
        <f t="shared" ref="K101:K109" si="49">H101-I101-J101</f>
        <v>236941.84</v>
      </c>
      <c r="L101" s="120">
        <v>47389.46</v>
      </c>
      <c r="M101" s="120"/>
      <c r="N101" s="49">
        <v>1715.46</v>
      </c>
      <c r="O101" s="49">
        <v>25</v>
      </c>
      <c r="P101" s="49">
        <v>0</v>
      </c>
      <c r="Q101" s="121"/>
      <c r="R101" s="121">
        <f>I101+J101+L101+P101+O101+N101</f>
        <v>62188.079999999994</v>
      </c>
      <c r="S101" s="49">
        <f>H101-R101</f>
        <v>187811.92</v>
      </c>
    </row>
    <row r="102" spans="1:19" ht="61.9" customHeight="1" thickBot="1" x14ac:dyDescent="0.45">
      <c r="A102" s="25">
        <v>67</v>
      </c>
      <c r="B102" s="26">
        <v>44621</v>
      </c>
      <c r="C102" s="26">
        <v>45297</v>
      </c>
      <c r="D102" s="27" t="s">
        <v>29</v>
      </c>
      <c r="E102" s="50" t="s">
        <v>242</v>
      </c>
      <c r="F102" s="122" t="s">
        <v>247</v>
      </c>
      <c r="G102" s="123" t="s">
        <v>105</v>
      </c>
      <c r="H102" s="29">
        <v>85000</v>
      </c>
      <c r="I102" s="29">
        <f t="shared" si="48"/>
        <v>2439.5</v>
      </c>
      <c r="J102" s="29">
        <f t="shared" ref="J102:J109" si="50">H102*3.04%</f>
        <v>2584</v>
      </c>
      <c r="K102" s="29">
        <f t="shared" si="49"/>
        <v>79976.5</v>
      </c>
      <c r="L102" s="51">
        <v>8576.99</v>
      </c>
      <c r="M102" s="51"/>
      <c r="N102" s="51"/>
      <c r="O102" s="51">
        <v>25</v>
      </c>
      <c r="P102" s="51">
        <v>0</v>
      </c>
      <c r="Q102" s="124"/>
      <c r="R102" s="121">
        <f t="shared" ref="R102:R109" si="51">I102+J102+L102+P102+O102+N102</f>
        <v>13625.49</v>
      </c>
      <c r="S102" s="49">
        <f t="shared" ref="S102:S109" si="52">H102-R102</f>
        <v>71374.509999999995</v>
      </c>
    </row>
    <row r="103" spans="1:19" ht="69" customHeight="1" thickBot="1" x14ac:dyDescent="0.45">
      <c r="A103" s="25">
        <v>68</v>
      </c>
      <c r="B103" s="26">
        <v>44958</v>
      </c>
      <c r="C103" s="26">
        <v>45298</v>
      </c>
      <c r="D103" s="27" t="s">
        <v>29</v>
      </c>
      <c r="E103" s="50" t="s">
        <v>244</v>
      </c>
      <c r="F103" s="122" t="s">
        <v>283</v>
      </c>
      <c r="G103" s="123" t="s">
        <v>105</v>
      </c>
      <c r="H103" s="29">
        <v>95000</v>
      </c>
      <c r="I103" s="29">
        <f t="shared" si="48"/>
        <v>2726.5</v>
      </c>
      <c r="J103" s="29">
        <f t="shared" si="50"/>
        <v>2888</v>
      </c>
      <c r="K103" s="29">
        <f t="shared" si="49"/>
        <v>89385.5</v>
      </c>
      <c r="L103" s="51">
        <v>10929.24</v>
      </c>
      <c r="M103" s="51"/>
      <c r="N103" s="51"/>
      <c r="O103" s="51">
        <v>25</v>
      </c>
      <c r="P103" s="51">
        <v>0</v>
      </c>
      <c r="Q103" s="124"/>
      <c r="R103" s="121">
        <f t="shared" si="51"/>
        <v>16568.739999999998</v>
      </c>
      <c r="S103" s="49">
        <f t="shared" si="52"/>
        <v>78431.260000000009</v>
      </c>
    </row>
    <row r="104" spans="1:19" ht="69" customHeight="1" thickBot="1" x14ac:dyDescent="0.5">
      <c r="A104" s="25">
        <v>69</v>
      </c>
      <c r="B104" s="26">
        <v>45294</v>
      </c>
      <c r="C104" s="26">
        <v>45300</v>
      </c>
      <c r="D104" s="27" t="s">
        <v>23</v>
      </c>
      <c r="E104" s="50" t="s">
        <v>272</v>
      </c>
      <c r="F104" s="122" t="s">
        <v>273</v>
      </c>
      <c r="G104" s="123" t="s">
        <v>105</v>
      </c>
      <c r="H104" s="29">
        <v>130000</v>
      </c>
      <c r="I104" s="29">
        <f t="shared" si="48"/>
        <v>3731</v>
      </c>
      <c r="J104" s="29">
        <f t="shared" si="50"/>
        <v>3952</v>
      </c>
      <c r="K104" s="29">
        <f t="shared" si="49"/>
        <v>122317</v>
      </c>
      <c r="L104" s="51">
        <v>19162.12</v>
      </c>
      <c r="M104" s="51"/>
      <c r="N104" s="51"/>
      <c r="O104" s="51">
        <v>25</v>
      </c>
      <c r="P104" s="51">
        <v>0</v>
      </c>
      <c r="Q104" s="124"/>
      <c r="R104" s="121">
        <f t="shared" si="51"/>
        <v>26870.12</v>
      </c>
      <c r="S104" s="49">
        <f t="shared" si="52"/>
        <v>103129.88</v>
      </c>
    </row>
    <row r="105" spans="1:19" ht="63.6" customHeight="1" thickBot="1" x14ac:dyDescent="0.45">
      <c r="A105" s="25">
        <v>70</v>
      </c>
      <c r="B105" s="26">
        <v>44958</v>
      </c>
      <c r="C105" s="26">
        <v>45293</v>
      </c>
      <c r="D105" s="27" t="s">
        <v>23</v>
      </c>
      <c r="E105" s="50" t="s">
        <v>246</v>
      </c>
      <c r="F105" s="122" t="s">
        <v>247</v>
      </c>
      <c r="G105" s="123" t="s">
        <v>105</v>
      </c>
      <c r="H105" s="29">
        <v>85000</v>
      </c>
      <c r="I105" s="29">
        <f t="shared" si="48"/>
        <v>2439.5</v>
      </c>
      <c r="J105" s="29">
        <f t="shared" si="50"/>
        <v>2584</v>
      </c>
      <c r="K105" s="29">
        <f t="shared" si="49"/>
        <v>79976.5</v>
      </c>
      <c r="L105" s="51">
        <v>7731.62</v>
      </c>
      <c r="M105" s="51">
        <v>845.37</v>
      </c>
      <c r="N105" s="51"/>
      <c r="O105" s="51">
        <v>25</v>
      </c>
      <c r="P105" s="51">
        <v>0</v>
      </c>
      <c r="Q105" s="124"/>
      <c r="R105" s="121">
        <f t="shared" si="51"/>
        <v>12780.119999999999</v>
      </c>
      <c r="S105" s="49">
        <f t="shared" si="52"/>
        <v>72219.88</v>
      </c>
    </row>
    <row r="106" spans="1:19" ht="63.6" customHeight="1" thickBot="1" x14ac:dyDescent="0.45">
      <c r="A106" s="25">
        <v>71</v>
      </c>
      <c r="B106" s="26">
        <v>44929</v>
      </c>
      <c r="C106" s="26">
        <v>45294</v>
      </c>
      <c r="D106" s="27" t="s">
        <v>29</v>
      </c>
      <c r="E106" s="50" t="s">
        <v>248</v>
      </c>
      <c r="F106" s="122" t="s">
        <v>247</v>
      </c>
      <c r="G106" s="123" t="s">
        <v>105</v>
      </c>
      <c r="H106" s="29">
        <v>85000</v>
      </c>
      <c r="I106" s="29">
        <f t="shared" si="48"/>
        <v>2439.5</v>
      </c>
      <c r="J106" s="29">
        <f t="shared" si="50"/>
        <v>2584</v>
      </c>
      <c r="K106" s="29">
        <f t="shared" si="49"/>
        <v>79976.5</v>
      </c>
      <c r="L106" s="51">
        <v>0</v>
      </c>
      <c r="M106" s="51">
        <v>22834.16</v>
      </c>
      <c r="N106" s="51"/>
      <c r="O106" s="51">
        <v>25</v>
      </c>
      <c r="P106" s="51">
        <v>0</v>
      </c>
      <c r="Q106" s="124"/>
      <c r="R106" s="121">
        <f t="shared" si="51"/>
        <v>5048.5</v>
      </c>
      <c r="S106" s="49">
        <f t="shared" si="52"/>
        <v>79951.5</v>
      </c>
    </row>
    <row r="107" spans="1:19" ht="63.6" customHeight="1" thickBot="1" x14ac:dyDescent="0.45">
      <c r="A107" s="25">
        <v>72</v>
      </c>
      <c r="B107" s="26">
        <v>44932</v>
      </c>
      <c r="C107" s="26">
        <v>45297</v>
      </c>
      <c r="D107" s="27" t="s">
        <v>29</v>
      </c>
      <c r="E107" s="50" t="s">
        <v>249</v>
      </c>
      <c r="F107" s="122" t="s">
        <v>250</v>
      </c>
      <c r="G107" s="123" t="s">
        <v>105</v>
      </c>
      <c r="H107" s="29">
        <v>75000</v>
      </c>
      <c r="I107" s="29">
        <f t="shared" si="48"/>
        <v>2152.5</v>
      </c>
      <c r="J107" s="29">
        <f t="shared" si="50"/>
        <v>2280</v>
      </c>
      <c r="K107" s="29">
        <f t="shared" si="49"/>
        <v>70567.5</v>
      </c>
      <c r="L107" s="51">
        <v>0</v>
      </c>
      <c r="M107" s="51">
        <v>35682.79</v>
      </c>
      <c r="N107" s="51"/>
      <c r="O107" s="51">
        <v>25</v>
      </c>
      <c r="P107" s="51">
        <v>0</v>
      </c>
      <c r="Q107" s="124"/>
      <c r="R107" s="121">
        <f t="shared" si="51"/>
        <v>4457.5</v>
      </c>
      <c r="S107" s="49">
        <f t="shared" si="52"/>
        <v>70542.5</v>
      </c>
    </row>
    <row r="108" spans="1:19" ht="63.6" customHeight="1" thickBot="1" x14ac:dyDescent="0.45">
      <c r="A108" s="25">
        <v>73</v>
      </c>
      <c r="B108" s="26">
        <v>44932</v>
      </c>
      <c r="C108" s="26">
        <v>45297</v>
      </c>
      <c r="D108" s="27" t="s">
        <v>29</v>
      </c>
      <c r="E108" s="50" t="s">
        <v>251</v>
      </c>
      <c r="F108" s="122" t="s">
        <v>176</v>
      </c>
      <c r="G108" s="123" t="s">
        <v>105</v>
      </c>
      <c r="H108" s="29">
        <v>60000</v>
      </c>
      <c r="I108" s="29">
        <f t="shared" si="48"/>
        <v>1722</v>
      </c>
      <c r="J108" s="29">
        <f t="shared" si="50"/>
        <v>1824</v>
      </c>
      <c r="K108" s="29">
        <f t="shared" si="49"/>
        <v>56454</v>
      </c>
      <c r="L108" s="51">
        <v>0</v>
      </c>
      <c r="M108" s="51">
        <v>32982.43</v>
      </c>
      <c r="N108" s="51"/>
      <c r="O108" s="51">
        <v>25</v>
      </c>
      <c r="P108" s="51">
        <v>0</v>
      </c>
      <c r="Q108" s="124"/>
      <c r="R108" s="121">
        <f t="shared" si="51"/>
        <v>3571</v>
      </c>
      <c r="S108" s="49">
        <f t="shared" si="52"/>
        <v>56429</v>
      </c>
    </row>
    <row r="109" spans="1:19" ht="63.6" customHeight="1" thickBot="1" x14ac:dyDescent="0.45">
      <c r="A109" s="25">
        <v>74</v>
      </c>
      <c r="B109" s="26">
        <v>44937</v>
      </c>
      <c r="C109" s="26">
        <v>45302</v>
      </c>
      <c r="D109" s="27" t="s">
        <v>29</v>
      </c>
      <c r="E109" s="50" t="s">
        <v>253</v>
      </c>
      <c r="F109" s="122" t="s">
        <v>282</v>
      </c>
      <c r="G109" s="123" t="s">
        <v>105</v>
      </c>
      <c r="H109" s="29">
        <v>82000</v>
      </c>
      <c r="I109" s="29">
        <f t="shared" si="48"/>
        <v>2353.4</v>
      </c>
      <c r="J109" s="29">
        <f t="shared" si="50"/>
        <v>2492.8000000000002</v>
      </c>
      <c r="K109" s="29">
        <f t="shared" si="49"/>
        <v>77153.8</v>
      </c>
      <c r="L109" s="51">
        <v>7871.32</v>
      </c>
      <c r="M109" s="51"/>
      <c r="N109" s="51"/>
      <c r="O109" s="51">
        <v>25</v>
      </c>
      <c r="P109" s="51">
        <v>0</v>
      </c>
      <c r="Q109" s="124"/>
      <c r="R109" s="121">
        <f t="shared" si="51"/>
        <v>12742.52</v>
      </c>
      <c r="S109" s="49">
        <f t="shared" si="52"/>
        <v>69257.48</v>
      </c>
    </row>
    <row r="110" spans="1:19" ht="48.6" customHeight="1" thickBot="1" x14ac:dyDescent="0.5">
      <c r="A110" s="25"/>
      <c r="B110" s="148" t="s">
        <v>123</v>
      </c>
      <c r="C110" s="149"/>
      <c r="D110" s="149"/>
      <c r="E110" s="149"/>
      <c r="F110" s="150"/>
      <c r="G110" s="28"/>
      <c r="H110" s="85">
        <f>SUM(H101:H109)</f>
        <v>947000</v>
      </c>
      <c r="I110" s="85">
        <f t="shared" ref="I110:R110" si="53">SUM(I101:I109)</f>
        <v>27178.9</v>
      </c>
      <c r="J110" s="85">
        <f t="shared" si="53"/>
        <v>27071.96</v>
      </c>
      <c r="K110" s="85">
        <f t="shared" si="53"/>
        <v>892749.14</v>
      </c>
      <c r="L110" s="85">
        <f>SUM(L101:L109)</f>
        <v>101660.75</v>
      </c>
      <c r="M110" s="85">
        <f t="shared" si="53"/>
        <v>92344.75</v>
      </c>
      <c r="N110" s="85">
        <f t="shared" si="53"/>
        <v>1715.46</v>
      </c>
      <c r="O110" s="85">
        <f t="shared" si="53"/>
        <v>225</v>
      </c>
      <c r="P110" s="85">
        <f t="shared" si="53"/>
        <v>0</v>
      </c>
      <c r="Q110" s="85">
        <f t="shared" si="53"/>
        <v>0</v>
      </c>
      <c r="R110" s="85">
        <f t="shared" si="53"/>
        <v>157852.06999999998</v>
      </c>
      <c r="S110" s="85">
        <f>SUM(S101:S109)</f>
        <v>789147.92999999993</v>
      </c>
    </row>
    <row r="111" spans="1:19" ht="37.5" customHeight="1" thickBot="1" x14ac:dyDescent="0.45">
      <c r="A111" s="160"/>
      <c r="B111" s="162"/>
      <c r="C111" s="163"/>
      <c r="D111" s="163"/>
      <c r="E111" s="163"/>
      <c r="F111" s="164"/>
      <c r="G111" s="28"/>
      <c r="H111" s="29"/>
      <c r="I111" s="51"/>
      <c r="J111" s="51"/>
      <c r="K111" s="51"/>
      <c r="L111" s="51"/>
      <c r="M111" s="51"/>
      <c r="N111" s="51"/>
      <c r="O111" s="51"/>
      <c r="P111" s="51"/>
      <c r="Q111" s="124"/>
      <c r="R111" s="124"/>
      <c r="S111" s="51"/>
    </row>
    <row r="112" spans="1:19" ht="37.5" customHeight="1" thickBot="1" x14ac:dyDescent="0.45">
      <c r="A112" s="161"/>
      <c r="B112" s="165"/>
      <c r="C112" s="166"/>
      <c r="D112" s="166"/>
      <c r="E112" s="166"/>
      <c r="F112" s="167"/>
      <c r="G112" s="28"/>
      <c r="H112" s="29"/>
      <c r="I112" s="51"/>
      <c r="J112" s="51"/>
      <c r="K112" s="51"/>
      <c r="L112" s="51"/>
      <c r="M112" s="51"/>
      <c r="N112" s="51"/>
      <c r="O112" s="51"/>
      <c r="P112" s="51"/>
      <c r="Q112" s="124"/>
      <c r="R112" s="124"/>
      <c r="S112" s="51"/>
    </row>
    <row r="113" spans="1:19" ht="48.6" customHeight="1" thickBot="1" x14ac:dyDescent="0.5">
      <c r="A113" s="25"/>
      <c r="B113" s="148" t="s">
        <v>84</v>
      </c>
      <c r="C113" s="149"/>
      <c r="D113" s="149"/>
      <c r="E113" s="149"/>
      <c r="F113" s="150"/>
      <c r="G113" s="28"/>
      <c r="H113" s="85">
        <f>H17+H33+H42+H58+H63+H70+H76+H83+H96+H99+H110+H22+H66</f>
        <v>7759500</v>
      </c>
      <c r="I113" s="85">
        <f t="shared" ref="I113:S113" si="54">I17+I33+I42+I58+I63+I70+I76+I83+I96+I99+I110+I22+I66</f>
        <v>222697.65</v>
      </c>
      <c r="J113" s="85">
        <f t="shared" si="54"/>
        <v>224890.08</v>
      </c>
      <c r="K113" s="85">
        <f t="shared" si="54"/>
        <v>7311912.2699999996</v>
      </c>
      <c r="L113" s="85">
        <f t="shared" si="54"/>
        <v>896322.30999999994</v>
      </c>
      <c r="M113" s="85">
        <f t="shared" si="54"/>
        <v>241050.02999999997</v>
      </c>
      <c r="N113" s="85">
        <f t="shared" si="54"/>
        <v>12008.2</v>
      </c>
      <c r="O113" s="85">
        <f t="shared" si="54"/>
        <v>1850</v>
      </c>
      <c r="P113" s="85">
        <f t="shared" si="54"/>
        <v>29816.61</v>
      </c>
      <c r="Q113" s="85">
        <f t="shared" si="54"/>
        <v>0</v>
      </c>
      <c r="R113" s="85">
        <f t="shared" si="54"/>
        <v>1387584.85</v>
      </c>
      <c r="S113" s="85">
        <f t="shared" si="54"/>
        <v>6371915.1499999994</v>
      </c>
    </row>
    <row r="114" spans="1:19" ht="37.5" customHeight="1" x14ac:dyDescent="0.35">
      <c r="D114" s="3"/>
      <c r="E114" s="5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58"/>
      <c r="Q114" s="58"/>
      <c r="R114" s="3"/>
      <c r="S114" s="57"/>
    </row>
    <row r="115" spans="1:19" ht="37.5" customHeight="1" x14ac:dyDescent="0.45"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58"/>
      <c r="Q115" s="58"/>
      <c r="R115" s="3"/>
      <c r="S115" s="125"/>
    </row>
    <row r="116" spans="1:19" ht="37.5" customHeight="1" x14ac:dyDescent="0.4">
      <c r="D116" s="3"/>
      <c r="E116" s="11"/>
      <c r="F116" s="3"/>
      <c r="G116" s="11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26"/>
    </row>
    <row r="117" spans="1:19" ht="37.5" customHeight="1" x14ac:dyDescent="0.45">
      <c r="D117" s="3"/>
      <c r="F117" s="4" t="s">
        <v>85</v>
      </c>
      <c r="G117" s="3"/>
      <c r="H117" s="9"/>
      <c r="I117" s="140" t="s">
        <v>255</v>
      </c>
      <c r="J117" s="140"/>
      <c r="K117" s="140"/>
      <c r="L117" s="59"/>
      <c r="M117" s="59"/>
      <c r="N117" s="59"/>
      <c r="O117" s="59"/>
      <c r="P117" s="60"/>
      <c r="Q117" s="60"/>
      <c r="R117" s="3"/>
      <c r="S117" s="127"/>
    </row>
    <row r="118" spans="1:19" ht="37.5" customHeight="1" x14ac:dyDescent="0.4">
      <c r="D118" s="3"/>
      <c r="F118" s="4" t="s">
        <v>87</v>
      </c>
      <c r="G118" s="3"/>
      <c r="H118" s="3"/>
      <c r="I118" s="3"/>
      <c r="J118" s="4" t="s">
        <v>88</v>
      </c>
      <c r="K118" s="3"/>
      <c r="L118" s="3"/>
      <c r="M118" s="3"/>
      <c r="N118" s="3"/>
      <c r="O118" s="3"/>
      <c r="P118" s="60"/>
      <c r="Q118" s="60"/>
      <c r="R118" s="3"/>
      <c r="S118" s="128"/>
    </row>
    <row r="119" spans="1:19" ht="37.5" customHeight="1" x14ac:dyDescent="0.3">
      <c r="E119" s="63"/>
      <c r="F119" s="63"/>
      <c r="G119" s="129"/>
      <c r="H119" s="63"/>
      <c r="I119" s="64"/>
      <c r="J119" s="64"/>
      <c r="K119" s="64"/>
      <c r="L119" s="75"/>
      <c r="M119" s="75"/>
      <c r="N119" s="65"/>
      <c r="O119" s="66"/>
      <c r="P119" s="3"/>
      <c r="Q119" s="3"/>
      <c r="R119" s="3"/>
      <c r="S119" s="3"/>
    </row>
    <row r="120" spans="1:19" ht="37.5" customHeight="1" x14ac:dyDescent="0.4">
      <c r="D120" s="67"/>
      <c r="E120" s="68"/>
      <c r="F120" s="68"/>
      <c r="G120" s="130"/>
      <c r="H120" s="69"/>
    </row>
  </sheetData>
  <autoFilter ref="A10:S110" xr:uid="{5C7F64D7-568E-4F7F-82D6-22C834F135E8}"/>
  <mergeCells count="30">
    <mergeCell ref="B23:E23"/>
    <mergeCell ref="I9:J9"/>
    <mergeCell ref="K9:P9"/>
    <mergeCell ref="B17:F17"/>
    <mergeCell ref="B18:E18"/>
    <mergeCell ref="B22:F22"/>
    <mergeCell ref="B71:E71"/>
    <mergeCell ref="B33:F33"/>
    <mergeCell ref="B34:E34"/>
    <mergeCell ref="B42:F42"/>
    <mergeCell ref="B43:E43"/>
    <mergeCell ref="B58:F58"/>
    <mergeCell ref="B59:E59"/>
    <mergeCell ref="B63:F63"/>
    <mergeCell ref="B64:E64"/>
    <mergeCell ref="B66:F66"/>
    <mergeCell ref="B67:E67"/>
    <mergeCell ref="B70:F70"/>
    <mergeCell ref="A111:A112"/>
    <mergeCell ref="B111:F112"/>
    <mergeCell ref="B113:F113"/>
    <mergeCell ref="I117:K117"/>
    <mergeCell ref="B76:F76"/>
    <mergeCell ref="B77:E77"/>
    <mergeCell ref="B83:F83"/>
    <mergeCell ref="B84:E84"/>
    <mergeCell ref="B96:F96"/>
    <mergeCell ref="B97:E97"/>
    <mergeCell ref="B100:E100"/>
    <mergeCell ref="B110:F110"/>
  </mergeCells>
  <pageMargins left="0.25" right="0.25" top="0.75" bottom="0.75" header="0.3" footer="0.3"/>
  <pageSetup paperSize="5" scale="2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E3AA-F2A8-41D7-A3EC-A4739FCAFC0B}">
  <sheetPr>
    <pageSetUpPr fitToPage="1"/>
  </sheetPr>
  <dimension ref="A1:Q64"/>
  <sheetViews>
    <sheetView showGridLines="0" zoomScale="40" zoomScaleNormal="40" zoomScaleSheetLayoutView="30" workbookViewId="0">
      <selection activeCell="E48" sqref="E48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5">
      <c r="C4" s="2"/>
      <c r="D4" s="2"/>
      <c r="E4" s="2"/>
      <c r="F4" s="2"/>
      <c r="G4" s="140" t="s">
        <v>0</v>
      </c>
      <c r="H4" s="140"/>
      <c r="I4" s="140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5">
      <c r="D5" s="5"/>
      <c r="E5" s="5"/>
      <c r="F5" s="5"/>
      <c r="G5" s="140" t="s">
        <v>1</v>
      </c>
      <c r="H5" s="140"/>
      <c r="I5" s="140"/>
      <c r="J5" s="5"/>
      <c r="K5" s="5"/>
      <c r="L5" s="5"/>
      <c r="M5" s="5"/>
      <c r="N5" s="5"/>
      <c r="O5" s="5"/>
      <c r="P5" s="5"/>
      <c r="Q5" s="3"/>
    </row>
    <row r="6" spans="1:17" ht="38.450000000000003" customHeight="1" x14ac:dyDescent="0.45">
      <c r="E6" s="6"/>
      <c r="F6" s="6"/>
      <c r="G6" s="140" t="s">
        <v>296</v>
      </c>
      <c r="H6" s="140"/>
      <c r="I6" s="140"/>
      <c r="J6" s="6"/>
      <c r="K6" s="6"/>
      <c r="L6" s="6"/>
      <c r="M6" s="6"/>
      <c r="N6" s="6"/>
      <c r="O6" s="6"/>
      <c r="P6" s="6"/>
      <c r="Q6" s="3"/>
    </row>
    <row r="7" spans="1:17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17" ht="43.15" customHeight="1" x14ac:dyDescent="0.45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17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17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17" ht="37.5" customHeight="1" thickBot="1" x14ac:dyDescent="0.45">
      <c r="C11" s="11"/>
      <c r="D11" s="12"/>
      <c r="E11" s="12"/>
      <c r="F11" s="12"/>
      <c r="G11" s="13" t="s">
        <v>2</v>
      </c>
      <c r="H11" s="141" t="s">
        <v>3</v>
      </c>
      <c r="I11" s="142"/>
      <c r="J11" s="141" t="s">
        <v>4</v>
      </c>
      <c r="K11" s="143"/>
      <c r="L11" s="143"/>
      <c r="M11" s="143"/>
      <c r="N11" s="143"/>
      <c r="O11" s="142"/>
      <c r="P11" s="12"/>
      <c r="Q11" s="14"/>
    </row>
    <row r="12" spans="1:17" ht="126" customHeight="1" thickBot="1" x14ac:dyDescent="0.3">
      <c r="A12" s="131" t="s">
        <v>5</v>
      </c>
      <c r="B12" s="131" t="s">
        <v>6</v>
      </c>
      <c r="C12" s="131" t="s">
        <v>7</v>
      </c>
      <c r="D12" s="131" t="s">
        <v>8</v>
      </c>
      <c r="E12" s="132" t="s">
        <v>9</v>
      </c>
      <c r="F12" s="132" t="s">
        <v>10</v>
      </c>
      <c r="G12" s="132" t="s">
        <v>11</v>
      </c>
      <c r="H12" s="133" t="s">
        <v>12</v>
      </c>
      <c r="I12" s="132" t="s">
        <v>13</v>
      </c>
      <c r="J12" s="132" t="s">
        <v>14</v>
      </c>
      <c r="K12" s="134" t="s">
        <v>15</v>
      </c>
      <c r="L12" s="135" t="s">
        <v>16</v>
      </c>
      <c r="M12" s="133" t="s">
        <v>17</v>
      </c>
      <c r="N12" s="131" t="s">
        <v>18</v>
      </c>
      <c r="O12" s="136" t="s">
        <v>4</v>
      </c>
      <c r="P12" s="132" t="s">
        <v>19</v>
      </c>
      <c r="Q12" s="137" t="s">
        <v>20</v>
      </c>
    </row>
    <row r="13" spans="1:17" ht="48.6" customHeight="1" thickBot="1" x14ac:dyDescent="0.3">
      <c r="B13" s="144" t="s">
        <v>21</v>
      </c>
      <c r="C13" s="145"/>
      <c r="D13" s="146"/>
      <c r="E13" s="20"/>
      <c r="F13" s="20"/>
      <c r="G13" s="20"/>
      <c r="H13" s="21"/>
      <c r="I13" s="20"/>
      <c r="J13" s="20"/>
      <c r="K13" s="20"/>
      <c r="L13" s="22"/>
      <c r="M13" s="21"/>
      <c r="N13" s="22"/>
      <c r="O13" s="23"/>
      <c r="P13" s="20"/>
      <c r="Q13" s="24"/>
    </row>
    <row r="14" spans="1:17" ht="37.5" customHeight="1" thickBot="1" x14ac:dyDescent="0.5">
      <c r="A14" s="25">
        <v>1</v>
      </c>
      <c r="B14" s="26" t="s">
        <v>22</v>
      </c>
      <c r="C14" s="27" t="s">
        <v>23</v>
      </c>
      <c r="D14" s="28" t="s">
        <v>24</v>
      </c>
      <c r="E14" s="28" t="s">
        <v>25</v>
      </c>
      <c r="F14" s="28" t="s">
        <v>26</v>
      </c>
      <c r="G14" s="29">
        <v>500000</v>
      </c>
      <c r="H14" s="30">
        <f>387050*2.87%</f>
        <v>11108.334999999999</v>
      </c>
      <c r="I14" s="30">
        <f>193525*3.04%</f>
        <v>5883.16</v>
      </c>
      <c r="J14" s="30">
        <f t="shared" ref="J14:J20" si="0">G14-H14-I14</f>
        <v>483008.505</v>
      </c>
      <c r="K14" s="30">
        <v>109334.99</v>
      </c>
      <c r="L14" s="30"/>
      <c r="M14" s="30"/>
      <c r="N14" s="30"/>
      <c r="O14" s="30">
        <v>25</v>
      </c>
      <c r="P14" s="30">
        <f>H14+I14+K14+O14</f>
        <v>126351.485</v>
      </c>
      <c r="Q14" s="30">
        <f>G14-P14</f>
        <v>373648.51500000001</v>
      </c>
    </row>
    <row r="15" spans="1:17" ht="37.5" customHeight="1" thickBot="1" x14ac:dyDescent="0.45">
      <c r="A15" s="25">
        <v>2</v>
      </c>
      <c r="B15" s="26" t="s">
        <v>22</v>
      </c>
      <c r="C15" s="27" t="s">
        <v>23</v>
      </c>
      <c r="D15" s="28" t="s">
        <v>27</v>
      </c>
      <c r="E15" s="28" t="s">
        <v>28</v>
      </c>
      <c r="F15" s="28" t="s">
        <v>26</v>
      </c>
      <c r="G15" s="29">
        <v>250000</v>
      </c>
      <c r="H15" s="30">
        <f t="shared" ref="H15:H20" si="1">+G15*2.87%</f>
        <v>7175</v>
      </c>
      <c r="I15" s="30">
        <f t="shared" ref="I15:I19" si="2">193525*3.04%</f>
        <v>5883.16</v>
      </c>
      <c r="J15" s="30">
        <f t="shared" si="0"/>
        <v>236941.84</v>
      </c>
      <c r="K15" s="30">
        <v>47818.33</v>
      </c>
      <c r="L15" s="30"/>
      <c r="M15" s="30"/>
      <c r="N15" s="30"/>
      <c r="O15" s="30">
        <v>25</v>
      </c>
      <c r="P15" s="30">
        <f t="shared" ref="P15:P18" si="3">H15+I15+K15+O15</f>
        <v>60901.490000000005</v>
      </c>
      <c r="Q15" s="30">
        <f t="shared" ref="Q15:Q20" si="4">G15-P15</f>
        <v>189098.51</v>
      </c>
    </row>
    <row r="16" spans="1:17" ht="55.15" customHeight="1" thickBot="1" x14ac:dyDescent="0.5">
      <c r="A16" s="25">
        <v>3</v>
      </c>
      <c r="B16" s="26">
        <v>44205</v>
      </c>
      <c r="C16" s="27" t="s">
        <v>29</v>
      </c>
      <c r="D16" s="28" t="s">
        <v>30</v>
      </c>
      <c r="E16" s="31" t="s">
        <v>31</v>
      </c>
      <c r="F16" s="28" t="s">
        <v>26</v>
      </c>
      <c r="G16" s="29">
        <v>110000</v>
      </c>
      <c r="H16" s="30">
        <f t="shared" si="1"/>
        <v>3157</v>
      </c>
      <c r="I16" s="30">
        <f>G16*3.04%</f>
        <v>3344</v>
      </c>
      <c r="J16" s="30">
        <f t="shared" si="0"/>
        <v>103499</v>
      </c>
      <c r="K16" s="30">
        <v>14457.62</v>
      </c>
      <c r="L16" s="30"/>
      <c r="M16" s="30"/>
      <c r="N16" s="30">
        <v>13480.07</v>
      </c>
      <c r="O16" s="30">
        <v>25</v>
      </c>
      <c r="P16" s="30">
        <f>H16+I16+K16+O16+N16</f>
        <v>34463.69</v>
      </c>
      <c r="Q16" s="30">
        <f>G16-P16</f>
        <v>75536.31</v>
      </c>
    </row>
    <row r="17" spans="1:17" ht="55.15" customHeight="1" thickBot="1" x14ac:dyDescent="0.5">
      <c r="A17" s="25">
        <v>4</v>
      </c>
      <c r="B17" s="26">
        <v>44205</v>
      </c>
      <c r="C17" s="27" t="s">
        <v>23</v>
      </c>
      <c r="D17" s="28" t="s">
        <v>32</v>
      </c>
      <c r="E17" s="31" t="s">
        <v>33</v>
      </c>
      <c r="F17" s="28" t="s">
        <v>26</v>
      </c>
      <c r="G17" s="29">
        <v>95000</v>
      </c>
      <c r="H17" s="30">
        <f t="shared" si="1"/>
        <v>2726.5</v>
      </c>
      <c r="I17" s="30">
        <f t="shared" ref="I17:I18" si="5">G17*3.04%</f>
        <v>2888</v>
      </c>
      <c r="J17" s="30">
        <f t="shared" si="0"/>
        <v>89385.5</v>
      </c>
      <c r="K17" s="30">
        <v>10929.31</v>
      </c>
      <c r="L17" s="30"/>
      <c r="M17" s="30"/>
      <c r="N17" s="30"/>
      <c r="O17" s="30">
        <v>25</v>
      </c>
      <c r="P17" s="30">
        <f t="shared" si="3"/>
        <v>16568.809999999998</v>
      </c>
      <c r="Q17" s="30">
        <f t="shared" si="4"/>
        <v>78431.19</v>
      </c>
    </row>
    <row r="18" spans="1:17" ht="55.15" customHeight="1" thickBot="1" x14ac:dyDescent="0.5">
      <c r="A18" s="25">
        <v>5</v>
      </c>
      <c r="B18" s="26">
        <v>44566</v>
      </c>
      <c r="C18" s="27" t="s">
        <v>29</v>
      </c>
      <c r="D18" s="28" t="s">
        <v>34</v>
      </c>
      <c r="E18" s="31" t="s">
        <v>35</v>
      </c>
      <c r="F18" s="28" t="s">
        <v>26</v>
      </c>
      <c r="G18" s="29">
        <v>95000</v>
      </c>
      <c r="H18" s="30">
        <f t="shared" si="1"/>
        <v>2726.5</v>
      </c>
      <c r="I18" s="30">
        <f t="shared" si="5"/>
        <v>2888</v>
      </c>
      <c r="J18" s="30">
        <f t="shared" si="0"/>
        <v>89385.5</v>
      </c>
      <c r="K18" s="30">
        <v>10929.31</v>
      </c>
      <c r="L18" s="30"/>
      <c r="M18" s="30"/>
      <c r="N18" s="30"/>
      <c r="O18" s="30">
        <v>25</v>
      </c>
      <c r="P18" s="30">
        <f t="shared" si="3"/>
        <v>16568.809999999998</v>
      </c>
      <c r="Q18" s="30">
        <f t="shared" si="4"/>
        <v>78431.19</v>
      </c>
    </row>
    <row r="19" spans="1:17" ht="66" customHeight="1" thickBot="1" x14ac:dyDescent="0.45">
      <c r="A19" s="25">
        <v>6</v>
      </c>
      <c r="B19" s="32">
        <v>44202</v>
      </c>
      <c r="C19" s="27" t="s">
        <v>23</v>
      </c>
      <c r="D19" s="28" t="s">
        <v>36</v>
      </c>
      <c r="E19" s="31" t="s">
        <v>37</v>
      </c>
      <c r="F19" s="28" t="s">
        <v>26</v>
      </c>
      <c r="G19" s="29">
        <v>200000</v>
      </c>
      <c r="H19" s="30">
        <f t="shared" si="1"/>
        <v>5740</v>
      </c>
      <c r="I19" s="30">
        <f t="shared" si="2"/>
        <v>5883.16</v>
      </c>
      <c r="J19" s="30">
        <f t="shared" si="0"/>
        <v>188376.84</v>
      </c>
      <c r="K19" s="30">
        <v>35248.21</v>
      </c>
      <c r="L19" s="30"/>
      <c r="M19" s="30">
        <v>1715.46</v>
      </c>
      <c r="N19" s="30">
        <v>19877.740000000002</v>
      </c>
      <c r="O19" s="30">
        <v>25</v>
      </c>
      <c r="P19" s="30">
        <f>H19+I19+K19+O19+M19+N19</f>
        <v>68489.569999999992</v>
      </c>
      <c r="Q19" s="30">
        <f t="shared" si="4"/>
        <v>131510.43</v>
      </c>
    </row>
    <row r="20" spans="1:17" ht="66" customHeight="1" thickBot="1" x14ac:dyDescent="0.5">
      <c r="A20" s="25">
        <v>7</v>
      </c>
      <c r="B20" s="32">
        <v>45293</v>
      </c>
      <c r="C20" s="27" t="s">
        <v>29</v>
      </c>
      <c r="D20" s="28" t="s">
        <v>261</v>
      </c>
      <c r="E20" s="31" t="s">
        <v>262</v>
      </c>
      <c r="F20" s="28" t="s">
        <v>26</v>
      </c>
      <c r="G20" s="29">
        <v>125000</v>
      </c>
      <c r="H20" s="30">
        <f t="shared" si="1"/>
        <v>3587.5</v>
      </c>
      <c r="I20" s="30">
        <f>G20*3.04%</f>
        <v>3800</v>
      </c>
      <c r="J20" s="30">
        <f t="shared" si="0"/>
        <v>117612.5</v>
      </c>
      <c r="K20" s="30">
        <v>17985.990000000002</v>
      </c>
      <c r="L20" s="30"/>
      <c r="M20" s="30">
        <v>0</v>
      </c>
      <c r="N20" s="30">
        <v>0</v>
      </c>
      <c r="O20" s="30">
        <v>25</v>
      </c>
      <c r="P20" s="30">
        <f>H20+I20+K20+O20+M20+N20</f>
        <v>25398.49</v>
      </c>
      <c r="Q20" s="30">
        <f t="shared" si="4"/>
        <v>99601.51</v>
      </c>
    </row>
    <row r="21" spans="1:17" ht="49.15" customHeight="1" thickBot="1" x14ac:dyDescent="0.5">
      <c r="A21" s="33"/>
      <c r="B21" s="148" t="s">
        <v>38</v>
      </c>
      <c r="C21" s="149"/>
      <c r="D21" s="149"/>
      <c r="E21" s="150"/>
      <c r="F21" s="36"/>
      <c r="G21" s="37">
        <f>SUM(G14:G20)</f>
        <v>1375000</v>
      </c>
      <c r="H21" s="37">
        <f t="shared" ref="H21:Q21" si="6">SUM(H14:H20)</f>
        <v>36220.834999999999</v>
      </c>
      <c r="I21" s="37">
        <f t="shared" si="6"/>
        <v>30569.48</v>
      </c>
      <c r="J21" s="37">
        <f t="shared" si="6"/>
        <v>1308209.6850000001</v>
      </c>
      <c r="K21" s="37">
        <f t="shared" si="6"/>
        <v>246703.75999999998</v>
      </c>
      <c r="L21" s="37">
        <f t="shared" si="6"/>
        <v>0</v>
      </c>
      <c r="M21" s="37">
        <f t="shared" si="6"/>
        <v>1715.46</v>
      </c>
      <c r="N21" s="37">
        <f t="shared" si="6"/>
        <v>33357.81</v>
      </c>
      <c r="O21" s="37">
        <f t="shared" si="6"/>
        <v>175</v>
      </c>
      <c r="P21" s="37">
        <f t="shared" si="6"/>
        <v>348742.34499999997</v>
      </c>
      <c r="Q21" s="37">
        <f t="shared" si="6"/>
        <v>1026257.6549999998</v>
      </c>
    </row>
    <row r="22" spans="1:17" ht="37.15" customHeight="1" thickBot="1" x14ac:dyDescent="0.5">
      <c r="A22" s="38"/>
      <c r="B22" s="39"/>
      <c r="C22" s="40"/>
      <c r="D22" s="40"/>
      <c r="E22" s="40"/>
      <c r="F22" s="40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3"/>
    </row>
    <row r="23" spans="1:17" ht="48.6" customHeight="1" thickBot="1" x14ac:dyDescent="0.45">
      <c r="A23" s="44"/>
      <c r="B23" s="45"/>
      <c r="C23" s="46" t="s">
        <v>39</v>
      </c>
      <c r="D23" s="47"/>
      <c r="E23" s="47"/>
      <c r="F23" s="47"/>
      <c r="G23" s="48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1:17" ht="37.5" customHeight="1" thickBot="1" x14ac:dyDescent="0.45">
      <c r="A24" s="25">
        <v>8</v>
      </c>
      <c r="B24" s="26" t="s">
        <v>22</v>
      </c>
      <c r="C24" s="27" t="s">
        <v>29</v>
      </c>
      <c r="D24" s="28" t="s">
        <v>40</v>
      </c>
      <c r="E24" s="28" t="s">
        <v>41</v>
      </c>
      <c r="F24" s="28" t="s">
        <v>26</v>
      </c>
      <c r="G24" s="29">
        <v>45000</v>
      </c>
      <c r="H24" s="30">
        <f t="shared" ref="H24:H48" si="7">+G24*2.87%</f>
        <v>1291.5</v>
      </c>
      <c r="I24" s="30">
        <f t="shared" ref="I24:I48" si="8">+G24*3.04%</f>
        <v>1368</v>
      </c>
      <c r="J24" s="30">
        <f t="shared" ref="J24:J48" si="9">G24-H24-I24</f>
        <v>42340.5</v>
      </c>
      <c r="K24" s="30">
        <v>0</v>
      </c>
      <c r="L24" s="30">
        <v>6621.75</v>
      </c>
      <c r="M24" s="30"/>
      <c r="N24" s="30"/>
      <c r="O24" s="30">
        <f>25</f>
        <v>25</v>
      </c>
      <c r="P24" s="30">
        <f t="shared" ref="P24:P48" si="10">H24+I24+K24+O24</f>
        <v>2684.5</v>
      </c>
      <c r="Q24" s="30">
        <f t="shared" ref="Q24:Q48" si="11">G24-P24</f>
        <v>42315.5</v>
      </c>
    </row>
    <row r="25" spans="1:17" ht="37.5" customHeight="1" thickBot="1" x14ac:dyDescent="0.5">
      <c r="A25" s="25">
        <v>9</v>
      </c>
      <c r="B25" s="26" t="s">
        <v>42</v>
      </c>
      <c r="C25" s="27" t="s">
        <v>23</v>
      </c>
      <c r="D25" s="28" t="s">
        <v>43</v>
      </c>
      <c r="E25" s="28" t="s">
        <v>44</v>
      </c>
      <c r="F25" s="28" t="s">
        <v>26</v>
      </c>
      <c r="G25" s="29">
        <v>30000</v>
      </c>
      <c r="H25" s="30">
        <f t="shared" si="7"/>
        <v>861</v>
      </c>
      <c r="I25" s="30">
        <f t="shared" si="8"/>
        <v>912</v>
      </c>
      <c r="J25" s="30">
        <f t="shared" si="9"/>
        <v>28227</v>
      </c>
      <c r="K25" s="30">
        <v>0</v>
      </c>
      <c r="L25" s="30"/>
      <c r="M25" s="30"/>
      <c r="N25" s="30"/>
      <c r="O25" s="30">
        <v>25</v>
      </c>
      <c r="P25" s="30">
        <f t="shared" si="10"/>
        <v>1798</v>
      </c>
      <c r="Q25" s="30">
        <f t="shared" si="11"/>
        <v>28202</v>
      </c>
    </row>
    <row r="26" spans="1:17" ht="37.5" customHeight="1" thickBot="1" x14ac:dyDescent="0.45">
      <c r="A26" s="25">
        <v>10</v>
      </c>
      <c r="B26" s="26" t="s">
        <v>42</v>
      </c>
      <c r="C26" s="27" t="s">
        <v>23</v>
      </c>
      <c r="D26" s="28" t="s">
        <v>45</v>
      </c>
      <c r="E26" s="28" t="s">
        <v>46</v>
      </c>
      <c r="F26" s="28" t="s">
        <v>26</v>
      </c>
      <c r="G26" s="29">
        <v>45000</v>
      </c>
      <c r="H26" s="30">
        <f t="shared" si="7"/>
        <v>1291.5</v>
      </c>
      <c r="I26" s="30">
        <f t="shared" si="8"/>
        <v>1368</v>
      </c>
      <c r="J26" s="30">
        <f t="shared" si="9"/>
        <v>42340.5</v>
      </c>
      <c r="K26" s="30">
        <v>1148.33</v>
      </c>
      <c r="L26" s="30"/>
      <c r="M26" s="30"/>
      <c r="N26" s="30"/>
      <c r="O26" s="30">
        <v>25</v>
      </c>
      <c r="P26" s="30">
        <f t="shared" si="10"/>
        <v>3832.83</v>
      </c>
      <c r="Q26" s="30">
        <f t="shared" si="11"/>
        <v>41167.17</v>
      </c>
    </row>
    <row r="27" spans="1:17" ht="37.5" customHeight="1" thickBot="1" x14ac:dyDescent="0.5">
      <c r="A27" s="25">
        <v>11</v>
      </c>
      <c r="B27" s="26">
        <v>43901</v>
      </c>
      <c r="C27" s="27" t="s">
        <v>29</v>
      </c>
      <c r="D27" s="50" t="s">
        <v>47</v>
      </c>
      <c r="E27" s="28" t="s">
        <v>48</v>
      </c>
      <c r="F27" s="28" t="s">
        <v>26</v>
      </c>
      <c r="G27" s="29">
        <v>45000</v>
      </c>
      <c r="H27" s="30">
        <f t="shared" si="7"/>
        <v>1291.5</v>
      </c>
      <c r="I27" s="29">
        <f t="shared" si="8"/>
        <v>1368</v>
      </c>
      <c r="J27" s="29">
        <f t="shared" si="9"/>
        <v>42340.5</v>
      </c>
      <c r="K27" s="51">
        <v>0</v>
      </c>
      <c r="L27" s="51">
        <v>6621.75</v>
      </c>
      <c r="M27" s="51"/>
      <c r="N27" s="51"/>
      <c r="O27" s="30">
        <f>25</f>
        <v>25</v>
      </c>
      <c r="P27" s="30">
        <f t="shared" si="10"/>
        <v>2684.5</v>
      </c>
      <c r="Q27" s="30">
        <f t="shared" si="11"/>
        <v>42315.5</v>
      </c>
    </row>
    <row r="28" spans="1:17" ht="37.5" customHeight="1" thickBot="1" x14ac:dyDescent="0.5">
      <c r="A28" s="25">
        <v>12</v>
      </c>
      <c r="B28" s="26">
        <v>43901</v>
      </c>
      <c r="C28" s="27" t="s">
        <v>23</v>
      </c>
      <c r="D28" s="50" t="s">
        <v>49</v>
      </c>
      <c r="E28" s="28" t="s">
        <v>50</v>
      </c>
      <c r="F28" s="28" t="s">
        <v>26</v>
      </c>
      <c r="G28" s="29">
        <v>60000</v>
      </c>
      <c r="H28" s="30">
        <f t="shared" si="7"/>
        <v>1722</v>
      </c>
      <c r="I28" s="29">
        <f t="shared" si="8"/>
        <v>1824</v>
      </c>
      <c r="J28" s="29">
        <f t="shared" si="9"/>
        <v>56454</v>
      </c>
      <c r="K28" s="51">
        <v>3486.65</v>
      </c>
      <c r="L28" s="51"/>
      <c r="M28" s="51"/>
      <c r="N28" s="51"/>
      <c r="O28" s="30">
        <f>25</f>
        <v>25</v>
      </c>
      <c r="P28" s="30">
        <f t="shared" si="10"/>
        <v>7057.65</v>
      </c>
      <c r="Q28" s="30">
        <f t="shared" si="11"/>
        <v>52942.35</v>
      </c>
    </row>
    <row r="29" spans="1:17" ht="37.5" customHeight="1" thickBot="1" x14ac:dyDescent="0.45">
      <c r="A29" s="25">
        <v>13</v>
      </c>
      <c r="B29" s="26" t="s">
        <v>51</v>
      </c>
      <c r="C29" s="27" t="s">
        <v>23</v>
      </c>
      <c r="D29" s="50" t="s">
        <v>52</v>
      </c>
      <c r="E29" s="50" t="s">
        <v>53</v>
      </c>
      <c r="F29" s="50" t="s">
        <v>26</v>
      </c>
      <c r="G29" s="29">
        <v>30000</v>
      </c>
      <c r="H29" s="30">
        <f t="shared" si="7"/>
        <v>861</v>
      </c>
      <c r="I29" s="29">
        <f t="shared" si="8"/>
        <v>912</v>
      </c>
      <c r="J29" s="29">
        <f t="shared" si="9"/>
        <v>28227</v>
      </c>
      <c r="K29" s="51">
        <v>0</v>
      </c>
      <c r="L29" s="51"/>
      <c r="M29" s="51"/>
      <c r="N29" s="51"/>
      <c r="O29" s="30">
        <v>25</v>
      </c>
      <c r="P29" s="30">
        <f t="shared" si="10"/>
        <v>1798</v>
      </c>
      <c r="Q29" s="30">
        <f t="shared" si="11"/>
        <v>28202</v>
      </c>
    </row>
    <row r="30" spans="1:17" ht="37.5" customHeight="1" thickBot="1" x14ac:dyDescent="0.5">
      <c r="A30" s="25">
        <v>14</v>
      </c>
      <c r="B30" s="32">
        <v>44204</v>
      </c>
      <c r="C30" s="27" t="s">
        <v>23</v>
      </c>
      <c r="D30" s="50" t="s">
        <v>54</v>
      </c>
      <c r="E30" s="50" t="s">
        <v>53</v>
      </c>
      <c r="F30" s="50" t="s">
        <v>26</v>
      </c>
      <c r="G30" s="29">
        <v>30000</v>
      </c>
      <c r="H30" s="30">
        <f t="shared" si="7"/>
        <v>861</v>
      </c>
      <c r="I30" s="29">
        <f t="shared" si="8"/>
        <v>912</v>
      </c>
      <c r="J30" s="29">
        <f t="shared" si="9"/>
        <v>28227</v>
      </c>
      <c r="K30" s="51">
        <v>0</v>
      </c>
      <c r="L30" s="51"/>
      <c r="M30" s="30"/>
      <c r="N30" s="30"/>
      <c r="O30" s="30">
        <v>25</v>
      </c>
      <c r="P30" s="30">
        <f t="shared" si="10"/>
        <v>1798</v>
      </c>
      <c r="Q30" s="30">
        <f t="shared" si="11"/>
        <v>28202</v>
      </c>
    </row>
    <row r="31" spans="1:17" ht="37.5" customHeight="1" thickBot="1" x14ac:dyDescent="0.5">
      <c r="A31" s="25">
        <v>15</v>
      </c>
      <c r="B31" s="32">
        <v>44205</v>
      </c>
      <c r="C31" s="27" t="s">
        <v>23</v>
      </c>
      <c r="D31" s="50" t="s">
        <v>55</v>
      </c>
      <c r="E31" s="50" t="s">
        <v>56</v>
      </c>
      <c r="F31" s="50" t="s">
        <v>26</v>
      </c>
      <c r="G31" s="29">
        <v>45000</v>
      </c>
      <c r="H31" s="30">
        <f t="shared" si="7"/>
        <v>1291.5</v>
      </c>
      <c r="I31" s="29">
        <f t="shared" si="8"/>
        <v>1368</v>
      </c>
      <c r="J31" s="29">
        <f t="shared" si="9"/>
        <v>42340.5</v>
      </c>
      <c r="K31" s="51">
        <v>1148.83</v>
      </c>
      <c r="L31" s="51"/>
      <c r="M31" s="30"/>
      <c r="N31" s="30"/>
      <c r="O31" s="30">
        <v>25</v>
      </c>
      <c r="P31" s="30">
        <f t="shared" si="10"/>
        <v>3833.33</v>
      </c>
      <c r="Q31" s="30">
        <f t="shared" si="11"/>
        <v>41166.67</v>
      </c>
    </row>
    <row r="32" spans="1:17" ht="37.5" customHeight="1" thickBot="1" x14ac:dyDescent="0.5">
      <c r="A32" s="25">
        <v>16</v>
      </c>
      <c r="B32" s="32">
        <v>44205</v>
      </c>
      <c r="C32" s="27" t="s">
        <v>29</v>
      </c>
      <c r="D32" s="50" t="s">
        <v>57</v>
      </c>
      <c r="E32" s="50" t="s">
        <v>58</v>
      </c>
      <c r="F32" s="50" t="s">
        <v>26</v>
      </c>
      <c r="G32" s="29">
        <v>30000</v>
      </c>
      <c r="H32" s="30">
        <f t="shared" si="7"/>
        <v>861</v>
      </c>
      <c r="I32" s="29">
        <f t="shared" si="8"/>
        <v>912</v>
      </c>
      <c r="J32" s="29">
        <f t="shared" si="9"/>
        <v>28227</v>
      </c>
      <c r="K32" s="51">
        <v>0</v>
      </c>
      <c r="L32" s="51"/>
      <c r="M32" s="30"/>
      <c r="N32" s="30"/>
      <c r="O32" s="30">
        <v>25</v>
      </c>
      <c r="P32" s="30">
        <f t="shared" si="10"/>
        <v>1798</v>
      </c>
      <c r="Q32" s="30">
        <f t="shared" si="11"/>
        <v>28202</v>
      </c>
    </row>
    <row r="33" spans="1:17" ht="37.5" customHeight="1" thickBot="1" x14ac:dyDescent="0.45">
      <c r="A33" s="25">
        <v>17</v>
      </c>
      <c r="B33" s="32" t="s">
        <v>59</v>
      </c>
      <c r="C33" s="27" t="s">
        <v>23</v>
      </c>
      <c r="D33" s="50" t="s">
        <v>60</v>
      </c>
      <c r="E33" s="50" t="s">
        <v>61</v>
      </c>
      <c r="F33" s="50" t="s">
        <v>26</v>
      </c>
      <c r="G33" s="29">
        <v>30000</v>
      </c>
      <c r="H33" s="30">
        <f t="shared" si="7"/>
        <v>861</v>
      </c>
      <c r="I33" s="29">
        <f t="shared" si="8"/>
        <v>912</v>
      </c>
      <c r="J33" s="29">
        <f t="shared" si="9"/>
        <v>28227</v>
      </c>
      <c r="K33" s="51">
        <v>0</v>
      </c>
      <c r="L33" s="51"/>
      <c r="M33" s="30"/>
      <c r="N33" s="30"/>
      <c r="O33" s="30">
        <v>25</v>
      </c>
      <c r="P33" s="30">
        <f t="shared" si="10"/>
        <v>1798</v>
      </c>
      <c r="Q33" s="30">
        <f t="shared" si="11"/>
        <v>28202</v>
      </c>
    </row>
    <row r="34" spans="1:17" ht="37.5" customHeight="1" thickBot="1" x14ac:dyDescent="0.45">
      <c r="A34" s="25">
        <v>18</v>
      </c>
      <c r="B34" s="32">
        <v>44206</v>
      </c>
      <c r="C34" s="27" t="s">
        <v>23</v>
      </c>
      <c r="D34" s="50" t="s">
        <v>62</v>
      </c>
      <c r="E34" s="50" t="s">
        <v>63</v>
      </c>
      <c r="F34" s="50" t="s">
        <v>26</v>
      </c>
      <c r="G34" s="29">
        <v>25000</v>
      </c>
      <c r="H34" s="30">
        <f t="shared" si="7"/>
        <v>717.5</v>
      </c>
      <c r="I34" s="29">
        <f t="shared" si="8"/>
        <v>760</v>
      </c>
      <c r="J34" s="29">
        <f t="shared" si="9"/>
        <v>23522.5</v>
      </c>
      <c r="K34" s="51">
        <v>0</v>
      </c>
      <c r="L34" s="51"/>
      <c r="M34" s="30"/>
      <c r="N34" s="30"/>
      <c r="O34" s="30">
        <v>25</v>
      </c>
      <c r="P34" s="30">
        <f t="shared" si="10"/>
        <v>1502.5</v>
      </c>
      <c r="Q34" s="30">
        <f t="shared" si="11"/>
        <v>23497.5</v>
      </c>
    </row>
    <row r="35" spans="1:17" ht="37.5" customHeight="1" thickBot="1" x14ac:dyDescent="0.45">
      <c r="A35" s="25">
        <v>19</v>
      </c>
      <c r="B35" s="32">
        <v>44206</v>
      </c>
      <c r="C35" s="27" t="s">
        <v>23</v>
      </c>
      <c r="D35" s="50" t="s">
        <v>64</v>
      </c>
      <c r="E35" s="50" t="s">
        <v>63</v>
      </c>
      <c r="F35" s="50" t="s">
        <v>26</v>
      </c>
      <c r="G35" s="29">
        <v>30000</v>
      </c>
      <c r="H35" s="30">
        <f t="shared" si="7"/>
        <v>861</v>
      </c>
      <c r="I35" s="29">
        <f t="shared" si="8"/>
        <v>912</v>
      </c>
      <c r="J35" s="29">
        <f t="shared" si="9"/>
        <v>28227</v>
      </c>
      <c r="K35" s="51">
        <v>0</v>
      </c>
      <c r="L35" s="51"/>
      <c r="M35" s="30"/>
      <c r="N35" s="30"/>
      <c r="O35" s="30">
        <v>25</v>
      </c>
      <c r="P35" s="30">
        <f t="shared" si="10"/>
        <v>1798</v>
      </c>
      <c r="Q35" s="30">
        <f t="shared" si="11"/>
        <v>28202</v>
      </c>
    </row>
    <row r="36" spans="1:17" ht="37.5" customHeight="1" thickBot="1" x14ac:dyDescent="0.45">
      <c r="A36" s="25">
        <v>20</v>
      </c>
      <c r="B36" s="32">
        <v>44206</v>
      </c>
      <c r="C36" s="27" t="s">
        <v>23</v>
      </c>
      <c r="D36" s="50" t="s">
        <v>65</v>
      </c>
      <c r="E36" s="50" t="s">
        <v>66</v>
      </c>
      <c r="F36" s="50" t="s">
        <v>26</v>
      </c>
      <c r="G36" s="29">
        <v>30000</v>
      </c>
      <c r="H36" s="30">
        <f t="shared" si="7"/>
        <v>861</v>
      </c>
      <c r="I36" s="29">
        <f t="shared" si="8"/>
        <v>912</v>
      </c>
      <c r="J36" s="29">
        <f t="shared" si="9"/>
        <v>28227</v>
      </c>
      <c r="K36" s="51">
        <v>0</v>
      </c>
      <c r="L36" s="51"/>
      <c r="M36" s="30"/>
      <c r="N36" s="30"/>
      <c r="O36" s="30">
        <f>25</f>
        <v>25</v>
      </c>
      <c r="P36" s="30">
        <f t="shared" si="10"/>
        <v>1798</v>
      </c>
      <c r="Q36" s="30">
        <f t="shared" si="11"/>
        <v>28202</v>
      </c>
    </row>
    <row r="37" spans="1:17" ht="37.5" customHeight="1" thickBot="1" x14ac:dyDescent="0.45">
      <c r="A37" s="25">
        <v>21</v>
      </c>
      <c r="B37" s="32">
        <v>44206</v>
      </c>
      <c r="C37" s="27" t="s">
        <v>29</v>
      </c>
      <c r="D37" s="50" t="s">
        <v>67</v>
      </c>
      <c r="E37" s="50" t="s">
        <v>58</v>
      </c>
      <c r="F37" s="50" t="s">
        <v>26</v>
      </c>
      <c r="G37" s="29">
        <v>30000</v>
      </c>
      <c r="H37" s="30">
        <f t="shared" si="7"/>
        <v>861</v>
      </c>
      <c r="I37" s="29">
        <f t="shared" si="8"/>
        <v>912</v>
      </c>
      <c r="J37" s="29">
        <f t="shared" si="9"/>
        <v>28227</v>
      </c>
      <c r="K37" s="51">
        <v>0</v>
      </c>
      <c r="L37" s="51"/>
      <c r="M37" s="30"/>
      <c r="N37" s="30"/>
      <c r="O37" s="30">
        <v>25</v>
      </c>
      <c r="P37" s="30">
        <f t="shared" si="10"/>
        <v>1798</v>
      </c>
      <c r="Q37" s="30">
        <f t="shared" si="11"/>
        <v>28202</v>
      </c>
    </row>
    <row r="38" spans="1:17" ht="37.5" customHeight="1" thickBot="1" x14ac:dyDescent="0.45">
      <c r="A38" s="25">
        <v>22</v>
      </c>
      <c r="B38" s="32">
        <v>44206</v>
      </c>
      <c r="C38" s="27" t="s">
        <v>23</v>
      </c>
      <c r="D38" s="50" t="s">
        <v>68</v>
      </c>
      <c r="E38" s="50" t="s">
        <v>69</v>
      </c>
      <c r="F38" s="50" t="s">
        <v>26</v>
      </c>
      <c r="G38" s="29">
        <v>30000</v>
      </c>
      <c r="H38" s="30">
        <f t="shared" si="7"/>
        <v>861</v>
      </c>
      <c r="I38" s="29">
        <f t="shared" si="8"/>
        <v>912</v>
      </c>
      <c r="J38" s="29">
        <f t="shared" si="9"/>
        <v>28227</v>
      </c>
      <c r="K38" s="51">
        <v>0</v>
      </c>
      <c r="L38" s="51"/>
      <c r="M38" s="30"/>
      <c r="N38" s="30"/>
      <c r="O38" s="30">
        <v>25</v>
      </c>
      <c r="P38" s="30">
        <f t="shared" si="10"/>
        <v>1798</v>
      </c>
      <c r="Q38" s="30">
        <f t="shared" si="11"/>
        <v>28202</v>
      </c>
    </row>
    <row r="39" spans="1:17" ht="37.5" customHeight="1" thickBot="1" x14ac:dyDescent="0.45">
      <c r="A39" s="25">
        <v>23</v>
      </c>
      <c r="B39" s="32">
        <v>44206</v>
      </c>
      <c r="C39" s="27" t="s">
        <v>29</v>
      </c>
      <c r="D39" s="50" t="s">
        <v>70</v>
      </c>
      <c r="E39" s="50" t="s">
        <v>58</v>
      </c>
      <c r="F39" s="50" t="s">
        <v>26</v>
      </c>
      <c r="G39" s="29">
        <v>30000</v>
      </c>
      <c r="H39" s="30">
        <f t="shared" si="7"/>
        <v>861</v>
      </c>
      <c r="I39" s="29">
        <f t="shared" si="8"/>
        <v>912</v>
      </c>
      <c r="J39" s="29">
        <f t="shared" si="9"/>
        <v>28227</v>
      </c>
      <c r="K39" s="51">
        <v>0</v>
      </c>
      <c r="L39" s="51"/>
      <c r="M39" s="30"/>
      <c r="N39" s="30"/>
      <c r="O39" s="30">
        <f>25</f>
        <v>25</v>
      </c>
      <c r="P39" s="30">
        <f t="shared" si="10"/>
        <v>1798</v>
      </c>
      <c r="Q39" s="30">
        <f t="shared" si="11"/>
        <v>28202</v>
      </c>
    </row>
    <row r="40" spans="1:17" ht="37.5" customHeight="1" thickBot="1" x14ac:dyDescent="0.45">
      <c r="A40" s="25">
        <v>24</v>
      </c>
      <c r="B40" s="32">
        <v>44206</v>
      </c>
      <c r="C40" s="27" t="s">
        <v>29</v>
      </c>
      <c r="D40" s="50" t="s">
        <v>71</v>
      </c>
      <c r="E40" s="50" t="s">
        <v>58</v>
      </c>
      <c r="F40" s="50" t="s">
        <v>26</v>
      </c>
      <c r="G40" s="29">
        <v>30000</v>
      </c>
      <c r="H40" s="30">
        <f t="shared" si="7"/>
        <v>861</v>
      </c>
      <c r="I40" s="29">
        <f t="shared" si="8"/>
        <v>912</v>
      </c>
      <c r="J40" s="29">
        <f t="shared" si="9"/>
        <v>28227</v>
      </c>
      <c r="K40" s="51">
        <v>0</v>
      </c>
      <c r="L40" s="51"/>
      <c r="M40" s="30"/>
      <c r="N40" s="30"/>
      <c r="O40" s="30">
        <v>25</v>
      </c>
      <c r="P40" s="30">
        <f t="shared" si="10"/>
        <v>1798</v>
      </c>
      <c r="Q40" s="30">
        <f t="shared" si="11"/>
        <v>28202</v>
      </c>
    </row>
    <row r="41" spans="1:17" ht="37.5" customHeight="1" thickBot="1" x14ac:dyDescent="0.45">
      <c r="A41" s="25">
        <v>25</v>
      </c>
      <c r="B41" s="32" t="s">
        <v>72</v>
      </c>
      <c r="C41" s="27" t="s">
        <v>23</v>
      </c>
      <c r="D41" s="50" t="s">
        <v>73</v>
      </c>
      <c r="E41" s="50" t="s">
        <v>61</v>
      </c>
      <c r="F41" s="50" t="s">
        <v>26</v>
      </c>
      <c r="G41" s="29">
        <v>30000</v>
      </c>
      <c r="H41" s="30">
        <f t="shared" si="7"/>
        <v>861</v>
      </c>
      <c r="I41" s="29">
        <f t="shared" si="8"/>
        <v>912</v>
      </c>
      <c r="J41" s="29">
        <f t="shared" si="9"/>
        <v>28227</v>
      </c>
      <c r="K41" s="51">
        <v>0</v>
      </c>
      <c r="L41" s="51"/>
      <c r="M41" s="30"/>
      <c r="N41" s="30"/>
      <c r="O41" s="30">
        <v>25</v>
      </c>
      <c r="P41" s="30">
        <f t="shared" si="10"/>
        <v>1798</v>
      </c>
      <c r="Q41" s="30">
        <f t="shared" si="11"/>
        <v>28202</v>
      </c>
    </row>
    <row r="42" spans="1:17" ht="37.5" customHeight="1" thickBot="1" x14ac:dyDescent="0.45">
      <c r="A42" s="25">
        <v>26</v>
      </c>
      <c r="B42" s="32" t="s">
        <v>72</v>
      </c>
      <c r="C42" s="27" t="s">
        <v>23</v>
      </c>
      <c r="D42" s="50" t="s">
        <v>74</v>
      </c>
      <c r="E42" s="50" t="s">
        <v>61</v>
      </c>
      <c r="F42" s="50" t="s">
        <v>26</v>
      </c>
      <c r="G42" s="29">
        <v>30000</v>
      </c>
      <c r="H42" s="30">
        <f t="shared" si="7"/>
        <v>861</v>
      </c>
      <c r="I42" s="29">
        <f t="shared" si="8"/>
        <v>912</v>
      </c>
      <c r="J42" s="29">
        <f t="shared" si="9"/>
        <v>28227</v>
      </c>
      <c r="K42" s="51">
        <v>0</v>
      </c>
      <c r="L42" s="51"/>
      <c r="M42" s="30"/>
      <c r="N42" s="30"/>
      <c r="O42" s="30">
        <f>25</f>
        <v>25</v>
      </c>
      <c r="P42" s="30">
        <f t="shared" si="10"/>
        <v>1798</v>
      </c>
      <c r="Q42" s="30">
        <f t="shared" si="11"/>
        <v>28202</v>
      </c>
    </row>
    <row r="43" spans="1:17" ht="37.5" customHeight="1" thickBot="1" x14ac:dyDescent="0.45">
      <c r="A43" s="25">
        <v>27</v>
      </c>
      <c r="B43" s="32">
        <v>44872</v>
      </c>
      <c r="C43" s="27" t="s">
        <v>23</v>
      </c>
      <c r="D43" s="50" t="s">
        <v>75</v>
      </c>
      <c r="E43" s="50" t="s">
        <v>58</v>
      </c>
      <c r="F43" s="50" t="s">
        <v>26</v>
      </c>
      <c r="G43" s="29">
        <v>30000</v>
      </c>
      <c r="H43" s="30">
        <f t="shared" si="7"/>
        <v>861</v>
      </c>
      <c r="I43" s="29">
        <f t="shared" si="8"/>
        <v>912</v>
      </c>
      <c r="J43" s="29">
        <f t="shared" si="9"/>
        <v>28227</v>
      </c>
      <c r="K43" s="51">
        <v>0</v>
      </c>
      <c r="L43" s="51"/>
      <c r="M43" s="30"/>
      <c r="N43" s="30"/>
      <c r="O43" s="30">
        <v>25</v>
      </c>
      <c r="P43" s="30">
        <f t="shared" si="10"/>
        <v>1798</v>
      </c>
      <c r="Q43" s="30">
        <f t="shared" si="11"/>
        <v>28202</v>
      </c>
    </row>
    <row r="44" spans="1:17" ht="37.5" customHeight="1" thickBot="1" x14ac:dyDescent="0.45">
      <c r="A44" s="25">
        <v>28</v>
      </c>
      <c r="B44" s="32">
        <v>44565</v>
      </c>
      <c r="C44" s="27" t="s">
        <v>23</v>
      </c>
      <c r="D44" s="50" t="s">
        <v>76</v>
      </c>
      <c r="E44" s="50" t="s">
        <v>61</v>
      </c>
      <c r="F44" s="50" t="s">
        <v>26</v>
      </c>
      <c r="G44" s="29">
        <v>30000</v>
      </c>
      <c r="H44" s="30">
        <f t="shared" si="7"/>
        <v>861</v>
      </c>
      <c r="I44" s="29">
        <f t="shared" si="8"/>
        <v>912</v>
      </c>
      <c r="J44" s="29">
        <f t="shared" si="9"/>
        <v>28227</v>
      </c>
      <c r="K44" s="51">
        <v>0</v>
      </c>
      <c r="L44" s="51"/>
      <c r="M44" s="30"/>
      <c r="N44" s="30"/>
      <c r="O44" s="30">
        <v>25</v>
      </c>
      <c r="P44" s="30">
        <f t="shared" si="10"/>
        <v>1798</v>
      </c>
      <c r="Q44" s="30">
        <f t="shared" si="11"/>
        <v>28202</v>
      </c>
    </row>
    <row r="45" spans="1:17" ht="37.5" customHeight="1" thickBot="1" x14ac:dyDescent="0.45">
      <c r="A45" s="25">
        <v>29</v>
      </c>
      <c r="B45" s="32">
        <v>44931</v>
      </c>
      <c r="C45" s="27" t="s">
        <v>23</v>
      </c>
      <c r="D45" s="50" t="s">
        <v>77</v>
      </c>
      <c r="E45" s="50" t="s">
        <v>61</v>
      </c>
      <c r="F45" s="50" t="s">
        <v>26</v>
      </c>
      <c r="G45" s="29">
        <v>30000</v>
      </c>
      <c r="H45" s="30">
        <f t="shared" si="7"/>
        <v>861</v>
      </c>
      <c r="I45" s="29">
        <f t="shared" si="8"/>
        <v>912</v>
      </c>
      <c r="J45" s="29">
        <f t="shared" si="9"/>
        <v>28227</v>
      </c>
      <c r="K45" s="51">
        <v>0</v>
      </c>
      <c r="L45" s="51"/>
      <c r="M45" s="30"/>
      <c r="N45" s="30"/>
      <c r="O45" s="30">
        <v>25</v>
      </c>
      <c r="P45" s="30">
        <f t="shared" si="10"/>
        <v>1798</v>
      </c>
      <c r="Q45" s="30">
        <f t="shared" si="11"/>
        <v>28202</v>
      </c>
    </row>
    <row r="46" spans="1:17" ht="37.5" customHeight="1" thickBot="1" x14ac:dyDescent="0.45">
      <c r="A46" s="25">
        <v>30</v>
      </c>
      <c r="B46" s="32">
        <v>44931</v>
      </c>
      <c r="C46" s="27" t="s">
        <v>29</v>
      </c>
      <c r="D46" s="50" t="s">
        <v>78</v>
      </c>
      <c r="E46" s="50" t="s">
        <v>58</v>
      </c>
      <c r="F46" s="50" t="s">
        <v>26</v>
      </c>
      <c r="G46" s="29">
        <v>30000</v>
      </c>
      <c r="H46" s="30">
        <f t="shared" si="7"/>
        <v>861</v>
      </c>
      <c r="I46" s="29">
        <f t="shared" si="8"/>
        <v>912</v>
      </c>
      <c r="J46" s="29">
        <f t="shared" si="9"/>
        <v>28227</v>
      </c>
      <c r="K46" s="51">
        <v>0</v>
      </c>
      <c r="L46" s="51"/>
      <c r="M46" s="30"/>
      <c r="N46" s="30"/>
      <c r="O46" s="30">
        <f>25</f>
        <v>25</v>
      </c>
      <c r="P46" s="30">
        <f t="shared" si="10"/>
        <v>1798</v>
      </c>
      <c r="Q46" s="30">
        <f t="shared" si="11"/>
        <v>28202</v>
      </c>
    </row>
    <row r="47" spans="1:17" ht="37.5" customHeight="1" thickBot="1" x14ac:dyDescent="0.45">
      <c r="A47" s="25">
        <v>31</v>
      </c>
      <c r="B47" s="32">
        <v>44937</v>
      </c>
      <c r="C47" s="27" t="s">
        <v>29</v>
      </c>
      <c r="D47" s="50" t="s">
        <v>79</v>
      </c>
      <c r="E47" s="50" t="s">
        <v>80</v>
      </c>
      <c r="F47" s="50" t="s">
        <v>26</v>
      </c>
      <c r="G47" s="29">
        <v>45000</v>
      </c>
      <c r="H47" s="30">
        <f t="shared" si="7"/>
        <v>1291.5</v>
      </c>
      <c r="I47" s="29">
        <f t="shared" si="8"/>
        <v>1368</v>
      </c>
      <c r="J47" s="29">
        <f t="shared" si="9"/>
        <v>42340.5</v>
      </c>
      <c r="K47" s="51">
        <v>0</v>
      </c>
      <c r="L47" s="51">
        <v>3421.66</v>
      </c>
      <c r="M47" s="30"/>
      <c r="N47" s="30"/>
      <c r="O47" s="30">
        <v>25</v>
      </c>
      <c r="P47" s="30">
        <f t="shared" si="10"/>
        <v>2684.5</v>
      </c>
      <c r="Q47" s="30">
        <f t="shared" si="11"/>
        <v>42315.5</v>
      </c>
    </row>
    <row r="48" spans="1:17" ht="37.5" customHeight="1" thickBot="1" x14ac:dyDescent="0.45">
      <c r="A48" s="25">
        <v>32</v>
      </c>
      <c r="B48" s="32">
        <v>44938</v>
      </c>
      <c r="C48" s="27" t="s">
        <v>23</v>
      </c>
      <c r="D48" s="50" t="s">
        <v>81</v>
      </c>
      <c r="E48" s="50" t="s">
        <v>82</v>
      </c>
      <c r="F48" s="50" t="s">
        <v>26</v>
      </c>
      <c r="G48" s="29">
        <v>45000</v>
      </c>
      <c r="H48" s="30">
        <f t="shared" si="7"/>
        <v>1291.5</v>
      </c>
      <c r="I48" s="29">
        <f t="shared" si="8"/>
        <v>1368</v>
      </c>
      <c r="J48" s="29">
        <f t="shared" si="9"/>
        <v>42340.5</v>
      </c>
      <c r="K48" s="51">
        <v>1148.33</v>
      </c>
      <c r="L48" s="51"/>
      <c r="M48" s="30"/>
      <c r="N48" s="30"/>
      <c r="O48" s="30">
        <v>25</v>
      </c>
      <c r="P48" s="30">
        <f t="shared" si="10"/>
        <v>3832.83</v>
      </c>
      <c r="Q48" s="30">
        <f t="shared" si="11"/>
        <v>41167.17</v>
      </c>
    </row>
    <row r="49" spans="1:17" ht="49.15" customHeight="1" thickBot="1" x14ac:dyDescent="0.45">
      <c r="A49" s="52"/>
      <c r="B49" s="148" t="s">
        <v>38</v>
      </c>
      <c r="C49" s="149" t="s">
        <v>83</v>
      </c>
      <c r="D49" s="149"/>
      <c r="E49" s="150"/>
      <c r="F49" s="53"/>
      <c r="G49" s="54">
        <f t="shared" ref="G49:Q49" si="12">SUM(G24:G48)</f>
        <v>865000</v>
      </c>
      <c r="H49" s="54">
        <f t="shared" si="12"/>
        <v>24825.5</v>
      </c>
      <c r="I49" s="54">
        <f t="shared" si="12"/>
        <v>26296</v>
      </c>
      <c r="J49" s="54">
        <f t="shared" si="12"/>
        <v>813878.5</v>
      </c>
      <c r="K49" s="54">
        <f t="shared" si="12"/>
        <v>6932.1399999999994</v>
      </c>
      <c r="L49" s="54">
        <f t="shared" si="12"/>
        <v>16665.16</v>
      </c>
      <c r="M49" s="54">
        <f t="shared" si="12"/>
        <v>0</v>
      </c>
      <c r="N49" s="54">
        <f t="shared" si="12"/>
        <v>0</v>
      </c>
      <c r="O49" s="54">
        <f t="shared" si="12"/>
        <v>625</v>
      </c>
      <c r="P49" s="54">
        <f t="shared" si="12"/>
        <v>58678.64</v>
      </c>
      <c r="Q49" s="54">
        <f t="shared" si="12"/>
        <v>806321.36</v>
      </c>
    </row>
    <row r="50" spans="1:17" ht="37.5" customHeight="1" x14ac:dyDescent="0.25">
      <c r="A50" s="151"/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1"/>
    </row>
    <row r="51" spans="1:17" ht="37.5" customHeight="1" thickBot="1" x14ac:dyDescent="0.3">
      <c r="A51" s="152"/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2"/>
    </row>
    <row r="52" spans="1:17" ht="49.9" customHeight="1" thickBot="1" x14ac:dyDescent="0.45">
      <c r="A52" s="52"/>
      <c r="B52" s="148" t="s">
        <v>84</v>
      </c>
      <c r="C52" s="149"/>
      <c r="D52" s="149"/>
      <c r="E52" s="150"/>
      <c r="F52" s="55"/>
      <c r="G52" s="54">
        <f>G49+G21</f>
        <v>2240000</v>
      </c>
      <c r="H52" s="54">
        <f>H49+H21</f>
        <v>61046.334999999999</v>
      </c>
      <c r="I52" s="54">
        <f>I49+I21</f>
        <v>56865.479999999996</v>
      </c>
      <c r="J52" s="54">
        <f>J49+J21</f>
        <v>2122088.1850000001</v>
      </c>
      <c r="K52" s="54">
        <f>K49+K21</f>
        <v>253635.89999999997</v>
      </c>
      <c r="L52" s="54"/>
      <c r="M52" s="54">
        <f>M49+M21</f>
        <v>1715.46</v>
      </c>
      <c r="N52" s="54">
        <f>N49+N21</f>
        <v>33357.81</v>
      </c>
      <c r="O52" s="54">
        <f>O49+O21</f>
        <v>800</v>
      </c>
      <c r="P52" s="54">
        <f>P49+P21</f>
        <v>407420.98499999999</v>
      </c>
      <c r="Q52" s="56">
        <f>Q49+Q21</f>
        <v>1832579.0149999997</v>
      </c>
    </row>
    <row r="53" spans="1:17" ht="37.5" customHeight="1" x14ac:dyDescent="0.35">
      <c r="C53" s="3"/>
      <c r="D53" s="57"/>
      <c r="E53" s="3"/>
      <c r="F53" s="3"/>
      <c r="G53" s="3"/>
      <c r="H53" s="3"/>
      <c r="I53" s="3"/>
      <c r="J53" s="3"/>
      <c r="K53" s="3"/>
      <c r="L53" s="3"/>
      <c r="M53" s="3"/>
      <c r="N53" s="3"/>
      <c r="O53" s="58"/>
      <c r="P53" s="3"/>
      <c r="Q53" s="138"/>
    </row>
    <row r="54" spans="1:17" ht="37.5" customHeight="1" x14ac:dyDescent="0.35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37.5" customHeight="1" x14ac:dyDescent="0.45">
      <c r="C55" s="3"/>
      <c r="D55" s="3"/>
      <c r="E55" s="3"/>
      <c r="F55" s="3"/>
      <c r="G55" s="9"/>
      <c r="H55" s="10"/>
      <c r="I55" s="3"/>
      <c r="J55" s="3"/>
      <c r="K55" s="59"/>
      <c r="L55" s="59"/>
      <c r="M55" s="59"/>
      <c r="N55" s="59"/>
      <c r="O55" s="60"/>
      <c r="P55" s="3"/>
      <c r="Q55" s="61"/>
    </row>
    <row r="56" spans="1:17" ht="48" customHeight="1" x14ac:dyDescent="0.3">
      <c r="C56" s="3"/>
      <c r="D56" s="3"/>
      <c r="E56" s="62" t="s">
        <v>85</v>
      </c>
      <c r="H56" s="3"/>
      <c r="I56" s="147" t="s">
        <v>86</v>
      </c>
      <c r="J56" s="147"/>
      <c r="K56" s="147"/>
      <c r="L56" s="62"/>
      <c r="M56" s="3"/>
      <c r="N56" s="3"/>
      <c r="O56" s="3"/>
      <c r="P56" s="60"/>
      <c r="Q56" s="3"/>
    </row>
    <row r="57" spans="1:17" ht="50.45" customHeight="1" x14ac:dyDescent="0.3">
      <c r="D57" s="63"/>
      <c r="E57" s="62" t="s">
        <v>87</v>
      </c>
      <c r="H57" s="64"/>
      <c r="I57" s="147" t="s">
        <v>88</v>
      </c>
      <c r="J57" s="147"/>
      <c r="K57" s="147"/>
      <c r="L57" s="62"/>
      <c r="M57" s="65"/>
      <c r="N57" s="66"/>
      <c r="O57" s="3"/>
      <c r="P57" s="3"/>
      <c r="Q57" s="3"/>
    </row>
    <row r="58" spans="1:17" ht="37.5" customHeight="1" x14ac:dyDescent="0.4">
      <c r="C58" s="67"/>
      <c r="D58" s="68"/>
      <c r="E58" s="68"/>
      <c r="F58" s="68"/>
      <c r="G58" s="69"/>
    </row>
    <row r="59" spans="1:17" ht="37.5" customHeight="1" x14ac:dyDescent="0.4">
      <c r="C59" s="67"/>
      <c r="D59" s="68"/>
      <c r="E59" s="70"/>
      <c r="F59" s="70"/>
      <c r="G59" s="71"/>
    </row>
    <row r="60" spans="1:17" ht="37.5" customHeight="1" x14ac:dyDescent="0.4">
      <c r="C60" s="67"/>
      <c r="D60" s="72"/>
      <c r="E60" s="67"/>
      <c r="F60" s="67"/>
      <c r="G60" s="69"/>
    </row>
    <row r="61" spans="1:17" ht="37.5" customHeight="1" x14ac:dyDescent="0.4">
      <c r="C61" s="67"/>
      <c r="D61" s="63"/>
      <c r="E61" s="63"/>
      <c r="F61" s="63"/>
      <c r="G61" s="63"/>
      <c r="H61" s="63"/>
      <c r="I61" s="63"/>
      <c r="J61" s="63"/>
      <c r="K61" s="63"/>
      <c r="L61" s="63"/>
      <c r="M61" s="73"/>
      <c r="N61" s="65"/>
    </row>
    <row r="62" spans="1:17" ht="37.5" customHeight="1" x14ac:dyDescent="0.4">
      <c r="C62" s="67"/>
      <c r="D62" s="68"/>
      <c r="E62" s="68"/>
      <c r="F62" s="68"/>
      <c r="G62" s="74"/>
      <c r="H62" s="63"/>
      <c r="I62" s="63"/>
      <c r="J62" s="63"/>
      <c r="K62" s="63"/>
      <c r="L62" s="63"/>
      <c r="M62" s="73"/>
      <c r="N62" s="65"/>
    </row>
    <row r="63" spans="1:17" ht="37.5" customHeight="1" x14ac:dyDescent="0.4">
      <c r="C63" s="67"/>
      <c r="D63" s="68"/>
      <c r="E63" s="68"/>
      <c r="F63" s="68"/>
      <c r="G63" s="74"/>
      <c r="H63" s="63"/>
      <c r="I63" s="63"/>
      <c r="J63" s="63"/>
      <c r="K63" s="63"/>
      <c r="L63" s="63"/>
      <c r="M63" s="73"/>
      <c r="N63" s="65"/>
    </row>
    <row r="64" spans="1:17" ht="37.5" customHeight="1" x14ac:dyDescent="0.4">
      <c r="C64" s="67"/>
      <c r="D64" s="68"/>
      <c r="E64" s="68"/>
      <c r="F64" s="68"/>
      <c r="G64" s="63"/>
    </row>
  </sheetData>
  <protectedRanges>
    <protectedRange sqref="C14" name="Data_7_1_1"/>
  </protectedRanges>
  <autoFilter ref="A12:Q12" xr:uid="{9F39948D-E9A9-49CF-B972-9BAF74CA9669}"/>
  <mergeCells count="13">
    <mergeCell ref="J11:O11"/>
    <mergeCell ref="I57:K57"/>
    <mergeCell ref="B21:E21"/>
    <mergeCell ref="B49:E49"/>
    <mergeCell ref="A50:A51"/>
    <mergeCell ref="B50:Q51"/>
    <mergeCell ref="B52:E52"/>
    <mergeCell ref="I56:K56"/>
    <mergeCell ref="B13:D13"/>
    <mergeCell ref="G4:I4"/>
    <mergeCell ref="G5:I5"/>
    <mergeCell ref="G6:I6"/>
    <mergeCell ref="H11:I11"/>
  </mergeCells>
  <pageMargins left="0.25" right="0.25" top="0.75" bottom="0.75" header="0.3" footer="0.3"/>
  <pageSetup paperSize="5" scale="1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58BC-E17C-4036-A7B4-C30593CD28C5}">
  <sheetPr>
    <pageSetUpPr fitToPage="1"/>
  </sheetPr>
  <dimension ref="A1:T119"/>
  <sheetViews>
    <sheetView showGridLines="0" tabSelected="1" zoomScale="39" zoomScaleNormal="39" zoomScaleSheetLayoutView="49" workbookViewId="0">
      <pane xSplit="6" topLeftCell="G1" activePane="topRight" state="frozen"/>
      <selection pane="topRight" activeCell="T17" sqref="T17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5">
      <c r="D3" s="2"/>
      <c r="E3" s="2"/>
      <c r="F3" s="2"/>
      <c r="G3" s="2"/>
      <c r="H3" s="3"/>
      <c r="I3" s="4"/>
      <c r="J3" s="3"/>
      <c r="K3" s="2"/>
      <c r="L3" s="2"/>
      <c r="M3" s="2"/>
      <c r="N3" s="2"/>
      <c r="O3" s="2"/>
      <c r="P3" s="2"/>
      <c r="Q3" s="2"/>
      <c r="R3" s="2"/>
      <c r="S3" s="3"/>
    </row>
    <row r="4" spans="1:19" ht="34.9" customHeight="1" x14ac:dyDescent="0.4">
      <c r="D4" s="2"/>
      <c r="E4" s="2"/>
      <c r="F4" s="4" t="s">
        <v>89</v>
      </c>
      <c r="G4" s="2"/>
      <c r="H4" s="3"/>
      <c r="I4" s="4"/>
      <c r="J4" s="3"/>
      <c r="K4" s="2"/>
      <c r="L4" s="2"/>
      <c r="M4" s="2"/>
      <c r="N4" s="2"/>
      <c r="O4" s="2"/>
      <c r="P4" s="2"/>
      <c r="Q4" s="2"/>
      <c r="R4" s="2"/>
      <c r="S4" s="3"/>
    </row>
    <row r="5" spans="1:19" ht="37.5" customHeight="1" x14ac:dyDescent="0.45">
      <c r="D5" s="5"/>
      <c r="E5" s="5"/>
      <c r="F5" s="76" t="s">
        <v>90</v>
      </c>
      <c r="G5" s="5"/>
      <c r="H5" s="3"/>
      <c r="I5" s="7"/>
      <c r="J5" s="3"/>
      <c r="K5" s="5"/>
      <c r="L5" s="5"/>
      <c r="M5" s="5"/>
      <c r="N5" s="5"/>
      <c r="O5" s="5"/>
      <c r="P5" s="5"/>
      <c r="Q5" s="5"/>
      <c r="R5" s="5"/>
      <c r="S5" s="3"/>
    </row>
    <row r="6" spans="1:19" ht="37.5" customHeight="1" x14ac:dyDescent="0.45">
      <c r="D6" s="6"/>
      <c r="E6" s="6"/>
      <c r="F6" s="7" t="s">
        <v>295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3"/>
    </row>
    <row r="7" spans="1:19" ht="37.5" customHeight="1" x14ac:dyDescent="0.45">
      <c r="D7" s="7"/>
      <c r="E7" s="7"/>
      <c r="F7" s="7"/>
      <c r="G7" s="7"/>
      <c r="I7" s="7"/>
      <c r="L7" s="7"/>
      <c r="M7" s="7"/>
      <c r="N7" s="7"/>
      <c r="O7" s="8"/>
      <c r="P7" s="8"/>
      <c r="Q7" s="8"/>
      <c r="R7" s="7"/>
      <c r="S7" s="3"/>
    </row>
    <row r="8" spans="1:19" ht="37.5" customHeight="1" thickBot="1" x14ac:dyDescent="0.5">
      <c r="D8" s="3"/>
      <c r="E8" s="3"/>
      <c r="F8" s="3"/>
      <c r="G8" s="3"/>
      <c r="H8" s="77"/>
      <c r="I8" s="3"/>
      <c r="J8" s="3"/>
      <c r="K8" s="3"/>
      <c r="L8" s="9"/>
      <c r="M8" s="9"/>
      <c r="N8" s="9"/>
      <c r="O8" s="10"/>
      <c r="P8" s="8"/>
      <c r="Q8" s="8"/>
      <c r="R8" s="3"/>
      <c r="S8" s="3"/>
    </row>
    <row r="9" spans="1:19" ht="37.5" customHeight="1" thickBot="1" x14ac:dyDescent="0.45">
      <c r="D9" s="11"/>
      <c r="E9" s="12"/>
      <c r="F9" s="12"/>
      <c r="G9" s="12"/>
      <c r="H9" s="13" t="s">
        <v>2</v>
      </c>
      <c r="I9" s="141" t="s">
        <v>91</v>
      </c>
      <c r="J9" s="142"/>
      <c r="K9" s="143" t="s">
        <v>4</v>
      </c>
      <c r="L9" s="143"/>
      <c r="M9" s="143"/>
      <c r="N9" s="143"/>
      <c r="O9" s="143"/>
      <c r="P9" s="142"/>
      <c r="Q9" s="78"/>
      <c r="S9" s="14"/>
    </row>
    <row r="10" spans="1:19" ht="126.6" customHeight="1" thickBot="1" x14ac:dyDescent="0.3">
      <c r="A10" s="15" t="s">
        <v>5</v>
      </c>
      <c r="B10" s="15" t="s">
        <v>6</v>
      </c>
      <c r="C10" s="15" t="s">
        <v>92</v>
      </c>
      <c r="D10" s="15" t="s">
        <v>7</v>
      </c>
      <c r="E10" s="15" t="s">
        <v>8</v>
      </c>
      <c r="F10" s="16" t="s">
        <v>93</v>
      </c>
      <c r="G10" s="16" t="s">
        <v>10</v>
      </c>
      <c r="H10" s="16" t="s">
        <v>11</v>
      </c>
      <c r="I10" s="17" t="s">
        <v>94</v>
      </c>
      <c r="J10" s="16" t="s">
        <v>95</v>
      </c>
      <c r="K10" s="16" t="s">
        <v>14</v>
      </c>
      <c r="L10" s="16" t="s">
        <v>96</v>
      </c>
      <c r="M10" s="18" t="s">
        <v>16</v>
      </c>
      <c r="N10" s="15" t="s">
        <v>97</v>
      </c>
      <c r="O10" s="17" t="s">
        <v>98</v>
      </c>
      <c r="P10" s="19" t="s">
        <v>99</v>
      </c>
      <c r="Q10" s="19" t="s">
        <v>100</v>
      </c>
      <c r="R10" s="16" t="s">
        <v>19</v>
      </c>
      <c r="S10" s="17" t="s">
        <v>20</v>
      </c>
    </row>
    <row r="11" spans="1:19" ht="48.6" customHeight="1" thickBot="1" x14ac:dyDescent="0.45">
      <c r="A11" s="25"/>
      <c r="B11" s="79" t="s">
        <v>101</v>
      </c>
      <c r="C11" s="80"/>
      <c r="D11" s="80"/>
      <c r="E11" s="80"/>
      <c r="F11" s="81"/>
      <c r="G11" s="28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37.15" customHeight="1" thickBot="1" x14ac:dyDescent="0.45">
      <c r="A12" s="25">
        <v>1</v>
      </c>
      <c r="B12" s="26" t="s">
        <v>102</v>
      </c>
      <c r="C12" s="26">
        <v>45299</v>
      </c>
      <c r="D12" s="27" t="s">
        <v>29</v>
      </c>
      <c r="E12" s="28" t="s">
        <v>103</v>
      </c>
      <c r="F12" s="28" t="s">
        <v>104</v>
      </c>
      <c r="G12" s="27" t="s">
        <v>105</v>
      </c>
      <c r="H12" s="29">
        <v>225000</v>
      </c>
      <c r="I12" s="30">
        <f t="shared" ref="I12:I16" si="0">+H12*2.87%</f>
        <v>6457.5</v>
      </c>
      <c r="J12" s="30">
        <f>193525*3.04%</f>
        <v>5883.16</v>
      </c>
      <c r="K12" s="30">
        <f>H12-I12-J12</f>
        <v>212659.34</v>
      </c>
      <c r="L12" s="51">
        <v>41797.19</v>
      </c>
      <c r="M12" s="51"/>
      <c r="N12" s="30"/>
      <c r="O12" s="30">
        <v>25</v>
      </c>
      <c r="P12" s="30"/>
      <c r="Q12" s="30"/>
      <c r="R12" s="30">
        <f>I12+J12+L12+N12+O12+P12</f>
        <v>54162.850000000006</v>
      </c>
      <c r="S12" s="51">
        <f>H12-R12</f>
        <v>170837.15</v>
      </c>
    </row>
    <row r="13" spans="1:19" ht="62.45" customHeight="1" thickBot="1" x14ac:dyDescent="0.45">
      <c r="A13" s="25">
        <v>2</v>
      </c>
      <c r="B13" s="26">
        <v>44199</v>
      </c>
      <c r="C13" s="26">
        <v>45299</v>
      </c>
      <c r="D13" s="27" t="s">
        <v>29</v>
      </c>
      <c r="E13" s="28" t="s">
        <v>106</v>
      </c>
      <c r="F13" s="31" t="s">
        <v>107</v>
      </c>
      <c r="G13" s="27" t="s">
        <v>105</v>
      </c>
      <c r="H13" s="29">
        <v>77000</v>
      </c>
      <c r="I13" s="30">
        <f t="shared" si="0"/>
        <v>2209.9</v>
      </c>
      <c r="J13" s="30">
        <f>H13*3.04%</f>
        <v>2340.8000000000002</v>
      </c>
      <c r="K13" s="30">
        <f>H13-I13-J13</f>
        <v>72449.3</v>
      </c>
      <c r="L13" s="51">
        <f>6695.19-M13</f>
        <v>6695.19</v>
      </c>
      <c r="M13" s="51">
        <v>0</v>
      </c>
      <c r="N13" s="30"/>
      <c r="O13" s="30">
        <f>25</f>
        <v>25</v>
      </c>
      <c r="P13" s="30"/>
      <c r="Q13" s="30"/>
      <c r="R13" s="30">
        <f>I13+J13+L13+N13+O13+P13</f>
        <v>11270.89</v>
      </c>
      <c r="S13" s="51">
        <f t="shared" ref="S13:S16" si="1">H13-R13</f>
        <v>65729.11</v>
      </c>
    </row>
    <row r="14" spans="1:19" ht="38.450000000000003" customHeight="1" thickBot="1" x14ac:dyDescent="0.45">
      <c r="A14" s="25">
        <v>3</v>
      </c>
      <c r="B14" s="26">
        <v>44564</v>
      </c>
      <c r="C14" s="26">
        <v>45299</v>
      </c>
      <c r="D14" s="27" t="s">
        <v>29</v>
      </c>
      <c r="E14" s="28" t="s">
        <v>108</v>
      </c>
      <c r="F14" s="31" t="s">
        <v>109</v>
      </c>
      <c r="G14" s="27" t="s">
        <v>105</v>
      </c>
      <c r="H14" s="29">
        <v>115000</v>
      </c>
      <c r="I14" s="30">
        <f t="shared" si="0"/>
        <v>3300.5</v>
      </c>
      <c r="J14" s="30">
        <f>H14*3.04%</f>
        <v>3496</v>
      </c>
      <c r="K14" s="30">
        <f t="shared" ref="K14:K16" si="2">H14-I14-J14</f>
        <v>108203.5</v>
      </c>
      <c r="L14" s="51">
        <v>15633.74</v>
      </c>
      <c r="M14" s="51"/>
      <c r="N14" s="30"/>
      <c r="O14" s="30">
        <v>25</v>
      </c>
      <c r="P14" s="30"/>
      <c r="Q14" s="30">
        <v>0</v>
      </c>
      <c r="R14" s="82">
        <f>I14+J14+N14+O14+P14+L14-Q14</f>
        <v>22455.239999999998</v>
      </c>
      <c r="S14" s="51">
        <f>H14-R14</f>
        <v>92544.760000000009</v>
      </c>
    </row>
    <row r="15" spans="1:19" ht="38.450000000000003" customHeight="1" thickBot="1" x14ac:dyDescent="0.45">
      <c r="A15" s="25">
        <v>4</v>
      </c>
      <c r="B15" s="26" t="s">
        <v>110</v>
      </c>
      <c r="C15" s="26">
        <v>45301</v>
      </c>
      <c r="D15" s="27" t="s">
        <v>29</v>
      </c>
      <c r="E15" s="28" t="s">
        <v>111</v>
      </c>
      <c r="F15" s="31" t="s">
        <v>112</v>
      </c>
      <c r="G15" s="27" t="s">
        <v>105</v>
      </c>
      <c r="H15" s="29">
        <v>80000</v>
      </c>
      <c r="I15" s="30">
        <f t="shared" si="0"/>
        <v>2296</v>
      </c>
      <c r="J15" s="30">
        <f>H15*3.04%</f>
        <v>2432</v>
      </c>
      <c r="K15" s="30">
        <f t="shared" si="2"/>
        <v>75272</v>
      </c>
      <c r="L15" s="51">
        <v>4523</v>
      </c>
      <c r="M15" s="51">
        <v>2877.87</v>
      </c>
      <c r="N15" s="30"/>
      <c r="O15" s="30">
        <v>25</v>
      </c>
      <c r="P15" s="30"/>
      <c r="Q15" s="30"/>
      <c r="R15" s="30">
        <f>I15+J15+L15+N15+O15+P15</f>
        <v>9276</v>
      </c>
      <c r="S15" s="51">
        <f t="shared" si="1"/>
        <v>70724</v>
      </c>
    </row>
    <row r="16" spans="1:19" ht="75.75" customHeight="1" thickBot="1" x14ac:dyDescent="0.45">
      <c r="A16" s="25">
        <v>5</v>
      </c>
      <c r="B16" s="32">
        <v>44929</v>
      </c>
      <c r="C16" s="26">
        <v>45299</v>
      </c>
      <c r="D16" s="27" t="s">
        <v>23</v>
      </c>
      <c r="E16" s="28" t="s">
        <v>113</v>
      </c>
      <c r="F16" s="31" t="s">
        <v>114</v>
      </c>
      <c r="G16" s="27" t="s">
        <v>105</v>
      </c>
      <c r="H16" s="29">
        <v>115000</v>
      </c>
      <c r="I16" s="30">
        <f t="shared" si="0"/>
        <v>3300.5</v>
      </c>
      <c r="J16" s="30">
        <f>H16*3.04%</f>
        <v>3496</v>
      </c>
      <c r="K16" s="30">
        <f t="shared" si="2"/>
        <v>108203.5</v>
      </c>
      <c r="L16" s="51">
        <v>15204.88</v>
      </c>
      <c r="M16" s="51"/>
      <c r="N16" s="30">
        <v>1715.46</v>
      </c>
      <c r="O16" s="30">
        <f>25</f>
        <v>25</v>
      </c>
      <c r="P16" s="30"/>
      <c r="Q16" s="30"/>
      <c r="R16" s="30">
        <f>I16+J16+L16+N16+O16+P16</f>
        <v>23741.839999999997</v>
      </c>
      <c r="S16" s="51">
        <f t="shared" si="1"/>
        <v>91258.16</v>
      </c>
    </row>
    <row r="17" spans="1:20" ht="35.450000000000003" customHeight="1" thickBot="1" x14ac:dyDescent="0.5">
      <c r="A17" s="25"/>
      <c r="B17" s="148" t="s">
        <v>38</v>
      </c>
      <c r="C17" s="149"/>
      <c r="D17" s="149"/>
      <c r="E17" s="149"/>
      <c r="F17" s="150"/>
      <c r="G17" s="84"/>
      <c r="H17" s="85">
        <f>H12+H13+H14+H15+H16</f>
        <v>612000</v>
      </c>
      <c r="I17" s="85">
        <f t="shared" ref="I17:S17" si="3">I12+I13+I14+I15+I16</f>
        <v>17564.400000000001</v>
      </c>
      <c r="J17" s="85">
        <f t="shared" si="3"/>
        <v>17647.96</v>
      </c>
      <c r="K17" s="85">
        <f t="shared" si="3"/>
        <v>576787.64</v>
      </c>
      <c r="L17" s="85">
        <f t="shared" si="3"/>
        <v>83854</v>
      </c>
      <c r="M17" s="85">
        <f t="shared" si="3"/>
        <v>2877.87</v>
      </c>
      <c r="N17" s="85">
        <f t="shared" si="3"/>
        <v>1715.46</v>
      </c>
      <c r="O17" s="85">
        <f t="shared" si="3"/>
        <v>125</v>
      </c>
      <c r="P17" s="85">
        <f t="shared" si="3"/>
        <v>0</v>
      </c>
      <c r="Q17" s="85">
        <f t="shared" si="3"/>
        <v>0</v>
      </c>
      <c r="R17" s="85">
        <f t="shared" si="3"/>
        <v>120906.82</v>
      </c>
      <c r="S17" s="85">
        <f t="shared" si="3"/>
        <v>491093.18000000005</v>
      </c>
      <c r="T17" s="139"/>
    </row>
    <row r="18" spans="1:20" ht="48.6" customHeight="1" thickBot="1" x14ac:dyDescent="0.45">
      <c r="A18" s="25"/>
      <c r="B18" s="157" t="s">
        <v>115</v>
      </c>
      <c r="C18" s="158"/>
      <c r="D18" s="158"/>
      <c r="E18" s="159"/>
      <c r="F18" s="28"/>
      <c r="G18" s="28"/>
      <c r="H18" s="29"/>
      <c r="I18" s="30"/>
      <c r="J18" s="30"/>
      <c r="K18" s="30"/>
      <c r="L18" s="51"/>
      <c r="M18" s="51"/>
      <c r="N18" s="30"/>
      <c r="O18" s="30"/>
      <c r="P18" s="30"/>
      <c r="Q18" s="30"/>
      <c r="R18" s="30"/>
      <c r="S18" s="30"/>
    </row>
    <row r="19" spans="1:20" ht="36.6" customHeight="1" thickBot="1" x14ac:dyDescent="0.45">
      <c r="A19" s="25">
        <v>6</v>
      </c>
      <c r="B19" s="26">
        <v>43872</v>
      </c>
      <c r="C19" s="26">
        <v>45333</v>
      </c>
      <c r="D19" s="26" t="s">
        <v>29</v>
      </c>
      <c r="E19" s="86" t="s">
        <v>116</v>
      </c>
      <c r="F19" s="28" t="s">
        <v>117</v>
      </c>
      <c r="G19" s="27" t="s">
        <v>105</v>
      </c>
      <c r="H19" s="29">
        <v>225000</v>
      </c>
      <c r="I19" s="30">
        <f>H19*2.87%</f>
        <v>6457.5</v>
      </c>
      <c r="J19" s="30">
        <f>193525*3.04%</f>
        <v>5883.16</v>
      </c>
      <c r="K19" s="30">
        <f>H19-I19-J19</f>
        <v>212659.34</v>
      </c>
      <c r="L19" s="51">
        <v>41797.19</v>
      </c>
      <c r="M19" s="51"/>
      <c r="N19" s="30"/>
      <c r="O19" s="30">
        <f>25</f>
        <v>25</v>
      </c>
      <c r="P19" s="30"/>
      <c r="Q19" s="87"/>
      <c r="R19" s="87">
        <f>I19+J19+L19+N19+O19+P19</f>
        <v>54162.850000000006</v>
      </c>
      <c r="S19" s="51">
        <f>H19-R19</f>
        <v>170837.15</v>
      </c>
    </row>
    <row r="20" spans="1:20" ht="37.15" customHeight="1" thickBot="1" x14ac:dyDescent="0.45">
      <c r="A20" s="25">
        <v>7</v>
      </c>
      <c r="B20" s="26" t="s">
        <v>118</v>
      </c>
      <c r="C20" s="26" t="s">
        <v>289</v>
      </c>
      <c r="D20" s="27" t="s">
        <v>29</v>
      </c>
      <c r="E20" s="28" t="s">
        <v>119</v>
      </c>
      <c r="F20" s="28" t="s">
        <v>120</v>
      </c>
      <c r="G20" s="27" t="s">
        <v>105</v>
      </c>
      <c r="H20" s="29">
        <v>125000</v>
      </c>
      <c r="I20" s="30">
        <f>H20*2.87%</f>
        <v>3587.5</v>
      </c>
      <c r="J20" s="30">
        <f>H20*3.04%</f>
        <v>3800</v>
      </c>
      <c r="K20" s="30">
        <f>H20-I20-J20</f>
        <v>117612.5</v>
      </c>
      <c r="L20" s="51">
        <v>17985.990000000002</v>
      </c>
      <c r="M20" s="51"/>
      <c r="N20" s="30"/>
      <c r="O20" s="30">
        <f>25</f>
        <v>25</v>
      </c>
      <c r="P20" s="30"/>
      <c r="Q20" s="87">
        <v>0</v>
      </c>
      <c r="R20" s="87">
        <f>I20+J20+N20+O20+P20+L20-Q20</f>
        <v>25398.49</v>
      </c>
      <c r="S20" s="51">
        <f t="shared" ref="S20:S21" si="4">H20-R20</f>
        <v>99601.51</v>
      </c>
    </row>
    <row r="21" spans="1:20" ht="37.15" customHeight="1" thickBot="1" x14ac:dyDescent="0.5">
      <c r="A21" s="25">
        <v>8</v>
      </c>
      <c r="B21" s="26">
        <v>44928</v>
      </c>
      <c r="C21" s="26">
        <v>45299</v>
      </c>
      <c r="D21" s="27" t="s">
        <v>29</v>
      </c>
      <c r="E21" s="28" t="s">
        <v>121</v>
      </c>
      <c r="F21" s="28" t="s">
        <v>122</v>
      </c>
      <c r="G21" s="27" t="s">
        <v>105</v>
      </c>
      <c r="H21" s="29">
        <v>82000</v>
      </c>
      <c r="I21" s="30">
        <f>H21*2.87%</f>
        <v>2353.4</v>
      </c>
      <c r="J21" s="30">
        <f>H21*3.04%</f>
        <v>2492.8000000000002</v>
      </c>
      <c r="K21" s="30">
        <f>H21-I21-J21</f>
        <v>77153.8</v>
      </c>
      <c r="L21" s="51">
        <v>7871.32</v>
      </c>
      <c r="M21" s="51"/>
      <c r="N21" s="30"/>
      <c r="O21" s="30">
        <v>25</v>
      </c>
      <c r="P21" s="30"/>
      <c r="Q21" s="87">
        <v>0</v>
      </c>
      <c r="R21" s="87">
        <f>I21+J21+N21+O21+P21+L21-Q21</f>
        <v>12742.52</v>
      </c>
      <c r="S21" s="51">
        <f t="shared" si="4"/>
        <v>69257.48</v>
      </c>
    </row>
    <row r="22" spans="1:20" ht="39.6" customHeight="1" thickBot="1" x14ac:dyDescent="0.5">
      <c r="A22" s="25"/>
      <c r="B22" s="148" t="s">
        <v>123</v>
      </c>
      <c r="C22" s="149"/>
      <c r="D22" s="149"/>
      <c r="E22" s="149"/>
      <c r="F22" s="150"/>
      <c r="G22" s="88"/>
      <c r="H22" s="85">
        <f>H19+H20+H21</f>
        <v>432000</v>
      </c>
      <c r="I22" s="85">
        <f t="shared" ref="I22:S22" si="5">I19+I20+I21</f>
        <v>12398.4</v>
      </c>
      <c r="J22" s="85">
        <f t="shared" si="5"/>
        <v>12175.96</v>
      </c>
      <c r="K22" s="85">
        <f t="shared" si="5"/>
        <v>407425.63999999996</v>
      </c>
      <c r="L22" s="85">
        <f t="shared" si="5"/>
        <v>67654.5</v>
      </c>
      <c r="M22" s="85">
        <f t="shared" si="5"/>
        <v>0</v>
      </c>
      <c r="N22" s="85">
        <f t="shared" si="5"/>
        <v>0</v>
      </c>
      <c r="O22" s="85">
        <f t="shared" si="5"/>
        <v>75</v>
      </c>
      <c r="P22" s="85">
        <f t="shared" si="5"/>
        <v>0</v>
      </c>
      <c r="Q22" s="85">
        <f t="shared" si="5"/>
        <v>0</v>
      </c>
      <c r="R22" s="85">
        <f t="shared" si="5"/>
        <v>92303.860000000015</v>
      </c>
      <c r="S22" s="85">
        <f t="shared" si="5"/>
        <v>339696.13999999996</v>
      </c>
    </row>
    <row r="23" spans="1:20" ht="48.6" customHeight="1" thickBot="1" x14ac:dyDescent="0.45">
      <c r="A23" s="25"/>
      <c r="B23" s="157" t="s">
        <v>124</v>
      </c>
      <c r="C23" s="158"/>
      <c r="D23" s="158"/>
      <c r="E23" s="158"/>
      <c r="F23" s="35"/>
      <c r="G23" s="88"/>
      <c r="H23" s="84"/>
      <c r="I23" s="84"/>
      <c r="J23" s="84"/>
      <c r="K23" s="84"/>
      <c r="L23" s="84"/>
      <c r="M23" s="84"/>
      <c r="N23" s="84"/>
      <c r="O23" s="29"/>
      <c r="P23" s="84"/>
      <c r="Q23" s="89"/>
      <c r="R23" s="89"/>
      <c r="S23" s="84"/>
    </row>
    <row r="24" spans="1:20" ht="37.15" customHeight="1" thickBot="1" x14ac:dyDescent="0.5">
      <c r="A24" s="25">
        <v>9</v>
      </c>
      <c r="B24" s="26" t="s">
        <v>125</v>
      </c>
      <c r="C24" s="26">
        <v>45299</v>
      </c>
      <c r="D24" s="26" t="s">
        <v>29</v>
      </c>
      <c r="E24" s="90" t="s">
        <v>126</v>
      </c>
      <c r="F24" s="90" t="s">
        <v>127</v>
      </c>
      <c r="G24" s="27" t="s">
        <v>105</v>
      </c>
      <c r="H24" s="29">
        <v>245000</v>
      </c>
      <c r="I24" s="29">
        <f t="shared" ref="I24:I31" si="6">H24*2.87%</f>
        <v>7031.5</v>
      </c>
      <c r="J24" s="29">
        <f>193525*3.04%</f>
        <v>5883.16</v>
      </c>
      <c r="K24" s="29">
        <f t="shared" ref="K24:K31" si="7">H24-I24-J24</f>
        <v>232085.34</v>
      </c>
      <c r="L24" s="29">
        <v>46604.2</v>
      </c>
      <c r="M24" s="29"/>
      <c r="N24" s="29"/>
      <c r="O24" s="29">
        <v>25</v>
      </c>
      <c r="P24" s="29"/>
      <c r="Q24" s="82">
        <v>0</v>
      </c>
      <c r="R24" s="82">
        <f>I24+J24+L24+N24+O24+P24-Q24</f>
        <v>59543.86</v>
      </c>
      <c r="S24" s="29">
        <f t="shared" ref="S24:S31" si="8">H24-R24</f>
        <v>185456.14</v>
      </c>
    </row>
    <row r="25" spans="1:20" ht="37.15" customHeight="1" thickBot="1" x14ac:dyDescent="0.45">
      <c r="A25" s="25">
        <v>10</v>
      </c>
      <c r="B25" s="32">
        <v>44198</v>
      </c>
      <c r="C25" s="32">
        <v>45299</v>
      </c>
      <c r="D25" s="26" t="s">
        <v>29</v>
      </c>
      <c r="E25" s="90" t="s">
        <v>128</v>
      </c>
      <c r="F25" s="86" t="s">
        <v>129</v>
      </c>
      <c r="G25" s="27" t="s">
        <v>105</v>
      </c>
      <c r="H25" s="29">
        <v>110000</v>
      </c>
      <c r="I25" s="29">
        <f t="shared" si="6"/>
        <v>3157</v>
      </c>
      <c r="J25" s="29">
        <f t="shared" ref="J25:J31" si="9">H25*3.04%</f>
        <v>3344</v>
      </c>
      <c r="K25" s="29">
        <f t="shared" si="7"/>
        <v>103499</v>
      </c>
      <c r="L25" s="29">
        <v>14457.42</v>
      </c>
      <c r="M25" s="29"/>
      <c r="N25" s="29"/>
      <c r="O25" s="29">
        <f>25</f>
        <v>25</v>
      </c>
      <c r="P25" s="29"/>
      <c r="Q25" s="82"/>
      <c r="R25" s="82">
        <f t="shared" ref="R25:R31" si="10">I25+L25+N25+O25+P25+J25</f>
        <v>20983.42</v>
      </c>
      <c r="S25" s="29">
        <f t="shared" si="8"/>
        <v>89016.58</v>
      </c>
    </row>
    <row r="26" spans="1:20" ht="37.15" customHeight="1" thickBot="1" x14ac:dyDescent="0.5">
      <c r="A26" s="25">
        <v>11</v>
      </c>
      <c r="B26" s="32">
        <v>44175</v>
      </c>
      <c r="C26" s="32">
        <v>45299</v>
      </c>
      <c r="D26" s="26" t="s">
        <v>23</v>
      </c>
      <c r="E26" s="90" t="s">
        <v>130</v>
      </c>
      <c r="F26" s="86" t="s">
        <v>131</v>
      </c>
      <c r="G26" s="27" t="s">
        <v>105</v>
      </c>
      <c r="H26" s="29">
        <v>85000</v>
      </c>
      <c r="I26" s="29">
        <f t="shared" si="6"/>
        <v>2439.5</v>
      </c>
      <c r="J26" s="29">
        <f t="shared" si="9"/>
        <v>2584</v>
      </c>
      <c r="K26" s="29">
        <f t="shared" si="7"/>
        <v>79976.5</v>
      </c>
      <c r="L26" s="29">
        <v>8576.99</v>
      </c>
      <c r="M26" s="29"/>
      <c r="N26" s="84"/>
      <c r="O26" s="29">
        <v>25</v>
      </c>
      <c r="P26" s="84"/>
      <c r="Q26" s="89"/>
      <c r="R26" s="82">
        <f t="shared" si="10"/>
        <v>13625.49</v>
      </c>
      <c r="S26" s="29">
        <f t="shared" si="8"/>
        <v>71374.509999999995</v>
      </c>
    </row>
    <row r="27" spans="1:20" ht="37.15" customHeight="1" thickBot="1" x14ac:dyDescent="0.5">
      <c r="A27" s="25">
        <v>12</v>
      </c>
      <c r="B27" s="32">
        <v>44564</v>
      </c>
      <c r="C27" s="32">
        <v>45300</v>
      </c>
      <c r="D27" s="26" t="s">
        <v>29</v>
      </c>
      <c r="E27" s="90" t="s">
        <v>132</v>
      </c>
      <c r="F27" s="86" t="s">
        <v>133</v>
      </c>
      <c r="G27" s="27" t="s">
        <v>105</v>
      </c>
      <c r="H27" s="29">
        <v>90000</v>
      </c>
      <c r="I27" s="29">
        <f t="shared" si="6"/>
        <v>2583</v>
      </c>
      <c r="J27" s="29">
        <f t="shared" si="9"/>
        <v>2736</v>
      </c>
      <c r="K27" s="29">
        <f t="shared" si="7"/>
        <v>84681</v>
      </c>
      <c r="L27" s="29">
        <v>9499.52</v>
      </c>
      <c r="M27" s="29">
        <v>253.6</v>
      </c>
      <c r="N27" s="84"/>
      <c r="O27" s="29">
        <v>25</v>
      </c>
      <c r="P27" s="84"/>
      <c r="Q27" s="89"/>
      <c r="R27" s="82">
        <f t="shared" si="10"/>
        <v>14843.52</v>
      </c>
      <c r="S27" s="29">
        <f t="shared" si="8"/>
        <v>75156.479999999996</v>
      </c>
    </row>
    <row r="28" spans="1:20" ht="37.15" customHeight="1" thickBot="1" x14ac:dyDescent="0.5">
      <c r="A28" s="25">
        <v>13</v>
      </c>
      <c r="B28" s="32">
        <v>44207</v>
      </c>
      <c r="C28" s="32">
        <v>45302</v>
      </c>
      <c r="D28" s="26" t="s">
        <v>23</v>
      </c>
      <c r="E28" s="90" t="s">
        <v>134</v>
      </c>
      <c r="F28" s="28" t="s">
        <v>135</v>
      </c>
      <c r="G28" s="27" t="s">
        <v>105</v>
      </c>
      <c r="H28" s="29">
        <v>65000</v>
      </c>
      <c r="I28" s="29">
        <f t="shared" si="6"/>
        <v>1865.5</v>
      </c>
      <c r="J28" s="29">
        <f t="shared" si="9"/>
        <v>1976</v>
      </c>
      <c r="K28" s="29">
        <f t="shared" si="7"/>
        <v>61158.5</v>
      </c>
      <c r="L28" s="29">
        <v>3556.11</v>
      </c>
      <c r="M28" s="29">
        <v>5299.05</v>
      </c>
      <c r="N28" s="84"/>
      <c r="O28" s="29">
        <v>25</v>
      </c>
      <c r="P28" s="84"/>
      <c r="Q28" s="89"/>
      <c r="R28" s="82">
        <f t="shared" si="10"/>
        <v>7422.6100000000006</v>
      </c>
      <c r="S28" s="29">
        <f t="shared" si="8"/>
        <v>57577.39</v>
      </c>
    </row>
    <row r="29" spans="1:20" ht="37.15" customHeight="1" thickBot="1" x14ac:dyDescent="0.5">
      <c r="A29" s="25">
        <v>14</v>
      </c>
      <c r="B29" s="32">
        <v>44567</v>
      </c>
      <c r="C29" s="32">
        <v>45297</v>
      </c>
      <c r="D29" s="26" t="s">
        <v>29</v>
      </c>
      <c r="E29" s="90" t="s">
        <v>136</v>
      </c>
      <c r="F29" s="28" t="s">
        <v>279</v>
      </c>
      <c r="G29" s="27" t="s">
        <v>105</v>
      </c>
      <c r="H29" s="29">
        <v>70000</v>
      </c>
      <c r="I29" s="29">
        <f t="shared" si="6"/>
        <v>2009</v>
      </c>
      <c r="J29" s="29">
        <f t="shared" si="9"/>
        <v>2128</v>
      </c>
      <c r="K29" s="29">
        <f t="shared" si="7"/>
        <v>65863</v>
      </c>
      <c r="L29" s="29">
        <v>7400.87</v>
      </c>
      <c r="M29" s="29">
        <v>0</v>
      </c>
      <c r="N29" s="84"/>
      <c r="O29" s="29">
        <f>25</f>
        <v>25</v>
      </c>
      <c r="P29" s="84"/>
      <c r="Q29" s="89"/>
      <c r="R29" s="82">
        <f t="shared" si="10"/>
        <v>11562.869999999999</v>
      </c>
      <c r="S29" s="29">
        <f t="shared" si="8"/>
        <v>58437.130000000005</v>
      </c>
    </row>
    <row r="30" spans="1:20" ht="37.15" customHeight="1" thickBot="1" x14ac:dyDescent="0.5">
      <c r="A30" s="25">
        <v>15</v>
      </c>
      <c r="B30" s="32">
        <v>44566</v>
      </c>
      <c r="C30" s="32">
        <v>45302</v>
      </c>
      <c r="D30" s="26" t="s">
        <v>29</v>
      </c>
      <c r="E30" s="90" t="s">
        <v>138</v>
      </c>
      <c r="F30" s="28" t="s">
        <v>139</v>
      </c>
      <c r="G30" s="27" t="s">
        <v>105</v>
      </c>
      <c r="H30" s="29">
        <v>67500</v>
      </c>
      <c r="I30" s="29">
        <f t="shared" si="6"/>
        <v>1937.25</v>
      </c>
      <c r="J30" s="29">
        <f t="shared" si="9"/>
        <v>2052</v>
      </c>
      <c r="K30" s="29">
        <f t="shared" si="7"/>
        <v>63510.75</v>
      </c>
      <c r="L30" s="29">
        <v>4898.03</v>
      </c>
      <c r="M30" s="29"/>
      <c r="N30" s="84"/>
      <c r="O30" s="29">
        <f>25</f>
        <v>25</v>
      </c>
      <c r="P30" s="84"/>
      <c r="Q30" s="89"/>
      <c r="R30" s="82">
        <f t="shared" si="10"/>
        <v>8912.2799999999988</v>
      </c>
      <c r="S30" s="29">
        <f t="shared" si="8"/>
        <v>58587.72</v>
      </c>
    </row>
    <row r="31" spans="1:20" ht="37.15" customHeight="1" thickBot="1" x14ac:dyDescent="0.5">
      <c r="A31" s="25">
        <v>17</v>
      </c>
      <c r="B31" s="32">
        <v>44936</v>
      </c>
      <c r="C31" s="32">
        <v>45301</v>
      </c>
      <c r="D31" s="26" t="s">
        <v>29</v>
      </c>
      <c r="E31" s="90" t="s">
        <v>140</v>
      </c>
      <c r="F31" s="28" t="s">
        <v>141</v>
      </c>
      <c r="G31" s="27" t="s">
        <v>142</v>
      </c>
      <c r="H31" s="29">
        <v>100000</v>
      </c>
      <c r="I31" s="29">
        <f t="shared" si="6"/>
        <v>2870</v>
      </c>
      <c r="J31" s="29">
        <f t="shared" si="9"/>
        <v>3040</v>
      </c>
      <c r="K31" s="29">
        <f t="shared" si="7"/>
        <v>94090</v>
      </c>
      <c r="L31" s="29">
        <v>12105.44</v>
      </c>
      <c r="M31" s="29"/>
      <c r="N31" s="84"/>
      <c r="O31" s="29">
        <v>25</v>
      </c>
      <c r="P31" s="84"/>
      <c r="Q31" s="89"/>
      <c r="R31" s="82">
        <f t="shared" si="10"/>
        <v>18040.440000000002</v>
      </c>
      <c r="S31" s="29">
        <f t="shared" si="8"/>
        <v>81959.56</v>
      </c>
    </row>
    <row r="32" spans="1:20" ht="48.6" customHeight="1" thickBot="1" x14ac:dyDescent="0.5">
      <c r="A32" s="25"/>
      <c r="B32" s="148" t="s">
        <v>123</v>
      </c>
      <c r="C32" s="149"/>
      <c r="D32" s="149"/>
      <c r="E32" s="149"/>
      <c r="F32" s="150"/>
      <c r="G32" s="88"/>
      <c r="H32" s="91">
        <f>H24+H25+H26+H28+H27+H29+H30+H31</f>
        <v>832500</v>
      </c>
      <c r="I32" s="91">
        <f t="shared" ref="I32:S32" si="11">I24+I25+I26+I28+I27+I29+I30+I31</f>
        <v>23892.75</v>
      </c>
      <c r="J32" s="91">
        <f t="shared" si="11"/>
        <v>23743.16</v>
      </c>
      <c r="K32" s="91">
        <f t="shared" si="11"/>
        <v>784864.09</v>
      </c>
      <c r="L32" s="91">
        <f t="shared" si="11"/>
        <v>107098.58</v>
      </c>
      <c r="M32" s="91">
        <f t="shared" si="11"/>
        <v>5552.6500000000005</v>
      </c>
      <c r="N32" s="91">
        <f t="shared" si="11"/>
        <v>0</v>
      </c>
      <c r="O32" s="91">
        <f t="shared" si="11"/>
        <v>200</v>
      </c>
      <c r="P32" s="91">
        <f t="shared" si="11"/>
        <v>0</v>
      </c>
      <c r="Q32" s="91">
        <f t="shared" si="11"/>
        <v>0</v>
      </c>
      <c r="R32" s="91">
        <f t="shared" si="11"/>
        <v>154934.49</v>
      </c>
      <c r="S32" s="91">
        <f t="shared" si="11"/>
        <v>677565.51</v>
      </c>
    </row>
    <row r="33" spans="1:19" ht="37.15" customHeight="1" thickBot="1" x14ac:dyDescent="0.5">
      <c r="A33" s="25"/>
      <c r="B33" s="157" t="s">
        <v>143</v>
      </c>
      <c r="C33" s="158"/>
      <c r="D33" s="158"/>
      <c r="E33" s="159"/>
      <c r="F33" s="35"/>
      <c r="G33" s="88"/>
      <c r="H33" s="84"/>
      <c r="I33" s="84"/>
      <c r="J33" s="84"/>
      <c r="K33" s="84"/>
      <c r="L33" s="84"/>
      <c r="M33" s="84"/>
      <c r="N33" s="84"/>
      <c r="O33" s="84"/>
      <c r="P33" s="84"/>
      <c r="Q33" s="89"/>
      <c r="R33" s="89"/>
      <c r="S33" s="84"/>
    </row>
    <row r="34" spans="1:19" ht="38.450000000000003" customHeight="1" thickBot="1" x14ac:dyDescent="0.45">
      <c r="A34" s="25">
        <v>18</v>
      </c>
      <c r="B34" s="32" t="s">
        <v>22</v>
      </c>
      <c r="C34" s="32">
        <v>45299</v>
      </c>
      <c r="D34" s="26" t="s">
        <v>29</v>
      </c>
      <c r="E34" s="90" t="s">
        <v>144</v>
      </c>
      <c r="F34" s="86" t="s">
        <v>145</v>
      </c>
      <c r="G34" s="27" t="s">
        <v>105</v>
      </c>
      <c r="H34" s="29">
        <v>245000</v>
      </c>
      <c r="I34" s="29">
        <f t="shared" ref="I34:I40" si="12">H34*2.87%</f>
        <v>7031.5</v>
      </c>
      <c r="J34" s="29">
        <f>193525*3.04%</f>
        <v>5883.16</v>
      </c>
      <c r="K34" s="29">
        <f t="shared" ref="K34:K40" si="13">H34-I34-J34</f>
        <v>232085.34</v>
      </c>
      <c r="L34" s="29">
        <v>46604.2</v>
      </c>
      <c r="M34" s="29"/>
      <c r="N34" s="29"/>
      <c r="O34" s="29">
        <v>25</v>
      </c>
      <c r="P34" s="29"/>
      <c r="Q34" s="82">
        <v>0</v>
      </c>
      <c r="R34" s="82">
        <f>I34+J34+N34+O34+P34+L34-Q34</f>
        <v>59543.86</v>
      </c>
      <c r="S34" s="29">
        <f t="shared" ref="S34:S40" si="14">H34-R34</f>
        <v>185456.14</v>
      </c>
    </row>
    <row r="35" spans="1:19" ht="57.75" thickBot="1" x14ac:dyDescent="0.45">
      <c r="A35" s="25">
        <v>19</v>
      </c>
      <c r="B35" s="32">
        <v>44198</v>
      </c>
      <c r="C35" s="32">
        <v>45299</v>
      </c>
      <c r="D35" s="26" t="s">
        <v>29</v>
      </c>
      <c r="E35" s="90" t="s">
        <v>146</v>
      </c>
      <c r="F35" s="92" t="s">
        <v>147</v>
      </c>
      <c r="G35" s="93" t="s">
        <v>105</v>
      </c>
      <c r="H35" s="29">
        <v>150000</v>
      </c>
      <c r="I35" s="29">
        <f t="shared" si="12"/>
        <v>4305</v>
      </c>
      <c r="J35" s="29">
        <f t="shared" ref="J35:J40" si="15">H35*3.04%</f>
        <v>4560</v>
      </c>
      <c r="K35" s="29">
        <f t="shared" si="13"/>
        <v>141135</v>
      </c>
      <c r="L35" s="29">
        <v>23866.69</v>
      </c>
      <c r="M35" s="94"/>
      <c r="N35" s="95"/>
      <c r="O35" s="29">
        <v>25</v>
      </c>
      <c r="P35" s="29"/>
      <c r="Q35" s="82">
        <v>0</v>
      </c>
      <c r="R35" s="82">
        <f>I35+J35+N35+O35+P35+L35-Q35</f>
        <v>32756.69</v>
      </c>
      <c r="S35" s="29">
        <f t="shared" si="14"/>
        <v>117243.31</v>
      </c>
    </row>
    <row r="36" spans="1:19" ht="38.450000000000003" customHeight="1" thickBot="1" x14ac:dyDescent="0.45">
      <c r="A36" s="25">
        <v>20</v>
      </c>
      <c r="B36" s="32">
        <v>44621</v>
      </c>
      <c r="C36" s="32">
        <v>45357</v>
      </c>
      <c r="D36" s="26" t="s">
        <v>23</v>
      </c>
      <c r="E36" s="90" t="s">
        <v>148</v>
      </c>
      <c r="F36" s="86" t="s">
        <v>149</v>
      </c>
      <c r="G36" s="93" t="s">
        <v>105</v>
      </c>
      <c r="H36" s="29">
        <v>95000</v>
      </c>
      <c r="I36" s="29">
        <f t="shared" si="12"/>
        <v>2726.5</v>
      </c>
      <c r="J36" s="29">
        <f t="shared" si="15"/>
        <v>2888</v>
      </c>
      <c r="K36" s="29">
        <f t="shared" si="13"/>
        <v>89385.5</v>
      </c>
      <c r="L36" s="29">
        <v>9753.1200000000008</v>
      </c>
      <c r="M36" s="29"/>
      <c r="N36" s="29"/>
      <c r="O36" s="29">
        <v>25</v>
      </c>
      <c r="P36" s="29"/>
      <c r="Q36" s="82"/>
      <c r="R36" s="82">
        <f t="shared" ref="R36:R40" si="16">I36+J36+N36+O36+P36+L36</f>
        <v>15392.62</v>
      </c>
      <c r="S36" s="29">
        <f t="shared" si="14"/>
        <v>79607.38</v>
      </c>
    </row>
    <row r="37" spans="1:19" ht="37.15" customHeight="1" thickBot="1" x14ac:dyDescent="0.45">
      <c r="A37" s="25">
        <v>21</v>
      </c>
      <c r="B37" s="32">
        <v>44198</v>
      </c>
      <c r="C37" s="32">
        <v>45299</v>
      </c>
      <c r="D37" s="26" t="s">
        <v>23</v>
      </c>
      <c r="E37" s="90" t="s">
        <v>150</v>
      </c>
      <c r="F37" s="86" t="s">
        <v>149</v>
      </c>
      <c r="G37" s="27" t="s">
        <v>105</v>
      </c>
      <c r="H37" s="29">
        <v>72000</v>
      </c>
      <c r="I37" s="29">
        <f t="shared" si="12"/>
        <v>2066.4</v>
      </c>
      <c r="J37" s="29">
        <f t="shared" si="15"/>
        <v>2188.8000000000002</v>
      </c>
      <c r="K37" s="29">
        <f t="shared" si="13"/>
        <v>67744.800000000003</v>
      </c>
      <c r="L37" s="29">
        <v>2602.15</v>
      </c>
      <c r="M37" s="29">
        <v>6629.37</v>
      </c>
      <c r="N37" s="29"/>
      <c r="O37" s="29">
        <v>25</v>
      </c>
      <c r="P37" s="29"/>
      <c r="Q37" s="82"/>
      <c r="R37" s="82">
        <f>I37+J37+N37+O37+P37+L37</f>
        <v>6882.35</v>
      </c>
      <c r="S37" s="29">
        <f t="shared" si="14"/>
        <v>65117.65</v>
      </c>
    </row>
    <row r="38" spans="1:19" ht="37.15" customHeight="1" thickBot="1" x14ac:dyDescent="0.45">
      <c r="A38" s="25">
        <v>22</v>
      </c>
      <c r="B38" s="32">
        <v>44206</v>
      </c>
      <c r="C38" s="32">
        <v>45299</v>
      </c>
      <c r="D38" s="26" t="s">
        <v>29</v>
      </c>
      <c r="E38" s="90" t="s">
        <v>152</v>
      </c>
      <c r="F38" s="86" t="s">
        <v>280</v>
      </c>
      <c r="G38" s="27" t="s">
        <v>105</v>
      </c>
      <c r="H38" s="29">
        <v>75000</v>
      </c>
      <c r="I38" s="29">
        <f t="shared" si="12"/>
        <v>2152.5</v>
      </c>
      <c r="J38" s="29">
        <f t="shared" si="15"/>
        <v>2280</v>
      </c>
      <c r="K38" s="29">
        <f t="shared" si="13"/>
        <v>70567.5</v>
      </c>
      <c r="L38" s="29">
        <v>6309.38</v>
      </c>
      <c r="M38" s="29"/>
      <c r="N38" s="29"/>
      <c r="O38" s="29">
        <v>25</v>
      </c>
      <c r="P38" s="29"/>
      <c r="Q38" s="82"/>
      <c r="R38" s="82">
        <f t="shared" si="16"/>
        <v>10766.880000000001</v>
      </c>
      <c r="S38" s="29">
        <f t="shared" si="14"/>
        <v>64233.119999999995</v>
      </c>
    </row>
    <row r="39" spans="1:19" ht="37.15" customHeight="1" thickBot="1" x14ac:dyDescent="0.45">
      <c r="A39" s="25">
        <v>23</v>
      </c>
      <c r="B39" s="32">
        <v>44198</v>
      </c>
      <c r="C39" s="32">
        <v>45297</v>
      </c>
      <c r="D39" s="26" t="s">
        <v>29</v>
      </c>
      <c r="E39" s="90" t="s">
        <v>153</v>
      </c>
      <c r="F39" s="86" t="s">
        <v>149</v>
      </c>
      <c r="G39" s="27" t="s">
        <v>105</v>
      </c>
      <c r="H39" s="29">
        <v>95000</v>
      </c>
      <c r="I39" s="29">
        <f t="shared" si="12"/>
        <v>2726.5</v>
      </c>
      <c r="J39" s="29">
        <f t="shared" si="15"/>
        <v>2888</v>
      </c>
      <c r="K39" s="29">
        <f t="shared" si="13"/>
        <v>89385.5</v>
      </c>
      <c r="L39" s="29">
        <v>10929.24</v>
      </c>
      <c r="M39" s="29"/>
      <c r="N39" s="29"/>
      <c r="O39" s="29">
        <v>25</v>
      </c>
      <c r="P39" s="29">
        <v>6185.43</v>
      </c>
      <c r="Q39" s="82"/>
      <c r="R39" s="82">
        <f t="shared" si="16"/>
        <v>22754.17</v>
      </c>
      <c r="S39" s="29">
        <f t="shared" si="14"/>
        <v>72245.83</v>
      </c>
    </row>
    <row r="40" spans="1:19" ht="37.15" customHeight="1" thickBot="1" x14ac:dyDescent="0.45">
      <c r="A40" s="25">
        <v>24</v>
      </c>
      <c r="B40" s="32">
        <v>44938</v>
      </c>
      <c r="C40" s="32">
        <v>45297</v>
      </c>
      <c r="D40" s="26" t="s">
        <v>23</v>
      </c>
      <c r="E40" s="90" t="s">
        <v>154</v>
      </c>
      <c r="F40" s="86" t="s">
        <v>149</v>
      </c>
      <c r="G40" s="27" t="s">
        <v>105</v>
      </c>
      <c r="H40" s="29">
        <v>95000</v>
      </c>
      <c r="I40" s="29">
        <f t="shared" si="12"/>
        <v>2726.5</v>
      </c>
      <c r="J40" s="29">
        <f t="shared" si="15"/>
        <v>2888</v>
      </c>
      <c r="K40" s="29">
        <f t="shared" si="13"/>
        <v>89385.5</v>
      </c>
      <c r="L40" s="29">
        <v>10929.24</v>
      </c>
      <c r="M40" s="29"/>
      <c r="N40" s="29"/>
      <c r="O40" s="29">
        <v>25</v>
      </c>
      <c r="P40" s="29">
        <v>0</v>
      </c>
      <c r="Q40" s="82"/>
      <c r="R40" s="82">
        <f t="shared" si="16"/>
        <v>16568.739999999998</v>
      </c>
      <c r="S40" s="29">
        <f t="shared" si="14"/>
        <v>78431.260000000009</v>
      </c>
    </row>
    <row r="41" spans="1:19" ht="48.6" customHeight="1" thickBot="1" x14ac:dyDescent="0.45">
      <c r="A41" s="25"/>
      <c r="B41" s="148" t="s">
        <v>123</v>
      </c>
      <c r="C41" s="149"/>
      <c r="D41" s="149"/>
      <c r="E41" s="149"/>
      <c r="F41" s="150"/>
      <c r="G41" s="88"/>
      <c r="H41" s="85">
        <f>H34+H35+H37+H38+H36+H39+H40</f>
        <v>827000</v>
      </c>
      <c r="I41" s="85">
        <f t="shared" ref="I41:S41" si="17">I34+I35+I37+I38+I36+I39+I40</f>
        <v>23734.9</v>
      </c>
      <c r="J41" s="85">
        <f t="shared" si="17"/>
        <v>23575.96</v>
      </c>
      <c r="K41" s="85">
        <f t="shared" si="17"/>
        <v>779689.1399999999</v>
      </c>
      <c r="L41" s="85">
        <f t="shared" si="17"/>
        <v>110994.02</v>
      </c>
      <c r="M41" s="85">
        <f t="shared" si="17"/>
        <v>6629.37</v>
      </c>
      <c r="N41" s="85">
        <f t="shared" si="17"/>
        <v>0</v>
      </c>
      <c r="O41" s="85">
        <f t="shared" si="17"/>
        <v>175</v>
      </c>
      <c r="P41" s="85">
        <f t="shared" si="17"/>
        <v>6185.43</v>
      </c>
      <c r="Q41" s="85">
        <f t="shared" si="17"/>
        <v>0</v>
      </c>
      <c r="R41" s="85">
        <f t="shared" si="17"/>
        <v>164665.31</v>
      </c>
      <c r="S41" s="85">
        <f t="shared" si="17"/>
        <v>662334.69000000006</v>
      </c>
    </row>
    <row r="42" spans="1:19" ht="48.6" customHeight="1" thickBot="1" x14ac:dyDescent="0.45">
      <c r="A42" s="25"/>
      <c r="B42" s="157" t="s">
        <v>155</v>
      </c>
      <c r="C42" s="158"/>
      <c r="D42" s="158"/>
      <c r="E42" s="159"/>
      <c r="F42" s="35"/>
      <c r="G42" s="88"/>
      <c r="H42" s="84"/>
      <c r="I42" s="84"/>
      <c r="J42" s="84"/>
      <c r="K42" s="84"/>
      <c r="L42" s="84"/>
      <c r="M42" s="84"/>
      <c r="N42" s="84"/>
      <c r="O42" s="29"/>
      <c r="P42" s="84"/>
      <c r="Q42" s="89"/>
      <c r="R42" s="89"/>
      <c r="S42" s="84"/>
    </row>
    <row r="43" spans="1:19" ht="37.15" customHeight="1" thickBot="1" x14ac:dyDescent="0.45">
      <c r="A43" s="25">
        <v>25</v>
      </c>
      <c r="B43" s="32" t="s">
        <v>22</v>
      </c>
      <c r="C43" s="32" t="s">
        <v>290</v>
      </c>
      <c r="D43" s="26" t="s">
        <v>23</v>
      </c>
      <c r="E43" s="90" t="s">
        <v>156</v>
      </c>
      <c r="F43" s="86" t="s">
        <v>157</v>
      </c>
      <c r="G43" s="27" t="s">
        <v>105</v>
      </c>
      <c r="H43" s="29">
        <v>225000</v>
      </c>
      <c r="I43" s="29">
        <f t="shared" ref="I43:I56" si="18">H43*2.87%</f>
        <v>6457.5</v>
      </c>
      <c r="J43" s="29">
        <f>193525*3.04%</f>
        <v>5883.16</v>
      </c>
      <c r="K43" s="29">
        <f t="shared" ref="K43:K56" si="19">H43-I43-J43</f>
        <v>212659.34</v>
      </c>
      <c r="L43" s="29">
        <v>41797.19</v>
      </c>
      <c r="M43" s="29"/>
      <c r="N43" s="84"/>
      <c r="O43" s="29">
        <v>25</v>
      </c>
      <c r="P43" s="84"/>
      <c r="Q43" s="89"/>
      <c r="R43" s="82">
        <f t="shared" ref="R43:R56" si="20">I43+J43+N337+L43+N43+O43+P43</f>
        <v>54162.850000000006</v>
      </c>
      <c r="S43" s="29">
        <f t="shared" ref="S43:S56" si="21">H43-R43</f>
        <v>170837.15</v>
      </c>
    </row>
    <row r="44" spans="1:19" ht="37.15" customHeight="1" thickBot="1" x14ac:dyDescent="0.45">
      <c r="A44" s="25">
        <v>26</v>
      </c>
      <c r="B44" s="32">
        <v>43872</v>
      </c>
      <c r="C44" s="32">
        <v>45330</v>
      </c>
      <c r="D44" s="26" t="s">
        <v>23</v>
      </c>
      <c r="E44" s="90" t="s">
        <v>158</v>
      </c>
      <c r="F44" s="86" t="s">
        <v>159</v>
      </c>
      <c r="G44" s="27" t="s">
        <v>105</v>
      </c>
      <c r="H44" s="29">
        <v>135000</v>
      </c>
      <c r="I44" s="29">
        <f t="shared" si="18"/>
        <v>3874.5</v>
      </c>
      <c r="J44" s="29">
        <f t="shared" ref="J44:J56" si="22">H44*3.04%</f>
        <v>4104</v>
      </c>
      <c r="K44" s="29">
        <f t="shared" si="19"/>
        <v>127021.5</v>
      </c>
      <c r="L44" s="29">
        <v>20338.189999999999</v>
      </c>
      <c r="M44" s="29"/>
      <c r="N44" s="84"/>
      <c r="O44" s="29">
        <v>25</v>
      </c>
      <c r="P44" s="84"/>
      <c r="Q44" s="89"/>
      <c r="R44" s="82">
        <f t="shared" si="20"/>
        <v>28341.69</v>
      </c>
      <c r="S44" s="29">
        <f t="shared" si="21"/>
        <v>106658.31</v>
      </c>
    </row>
    <row r="45" spans="1:19" ht="37.15" customHeight="1" thickBot="1" x14ac:dyDescent="0.45">
      <c r="A45" s="25">
        <v>27</v>
      </c>
      <c r="B45" s="26" t="s">
        <v>160</v>
      </c>
      <c r="C45" s="96" t="s">
        <v>291</v>
      </c>
      <c r="D45" s="96" t="s">
        <v>29</v>
      </c>
      <c r="E45" s="90" t="s">
        <v>161</v>
      </c>
      <c r="F45" s="97" t="s">
        <v>278</v>
      </c>
      <c r="G45" s="27" t="s">
        <v>105</v>
      </c>
      <c r="H45" s="29">
        <v>110000</v>
      </c>
      <c r="I45" s="29">
        <f t="shared" si="18"/>
        <v>3157</v>
      </c>
      <c r="J45" s="29">
        <f t="shared" si="22"/>
        <v>3344</v>
      </c>
      <c r="K45" s="29">
        <f t="shared" si="19"/>
        <v>103499</v>
      </c>
      <c r="L45" s="29">
        <v>14457.62</v>
      </c>
      <c r="M45" s="29"/>
      <c r="N45" s="84"/>
      <c r="O45" s="29">
        <v>25</v>
      </c>
      <c r="P45" s="84"/>
      <c r="Q45" s="89"/>
      <c r="R45" s="82">
        <f t="shared" si="20"/>
        <v>20983.620000000003</v>
      </c>
      <c r="S45" s="29">
        <f t="shared" si="21"/>
        <v>89016.38</v>
      </c>
    </row>
    <row r="46" spans="1:19" ht="37.15" customHeight="1" thickBot="1" x14ac:dyDescent="0.45">
      <c r="A46" s="25">
        <v>28</v>
      </c>
      <c r="B46" s="32">
        <v>44199</v>
      </c>
      <c r="C46" s="26">
        <v>45299</v>
      </c>
      <c r="D46" s="96" t="s">
        <v>29</v>
      </c>
      <c r="E46" s="90" t="s">
        <v>163</v>
      </c>
      <c r="F46" s="97" t="s">
        <v>164</v>
      </c>
      <c r="G46" s="27" t="s">
        <v>105</v>
      </c>
      <c r="H46" s="29">
        <v>90000</v>
      </c>
      <c r="I46" s="29">
        <f t="shared" si="18"/>
        <v>2583</v>
      </c>
      <c r="J46" s="29">
        <f t="shared" si="22"/>
        <v>2736</v>
      </c>
      <c r="K46" s="29">
        <f t="shared" si="19"/>
        <v>84681</v>
      </c>
      <c r="L46" s="29">
        <v>9324.25</v>
      </c>
      <c r="M46" s="29"/>
      <c r="N46" s="29">
        <v>1715.46</v>
      </c>
      <c r="O46" s="29">
        <v>25</v>
      </c>
      <c r="P46" s="84"/>
      <c r="Q46" s="89"/>
      <c r="R46" s="82">
        <f t="shared" si="20"/>
        <v>16383.71</v>
      </c>
      <c r="S46" s="29">
        <f t="shared" si="21"/>
        <v>73616.290000000008</v>
      </c>
    </row>
    <row r="47" spans="1:19" ht="37.15" customHeight="1" thickBot="1" x14ac:dyDescent="0.45">
      <c r="A47" s="25">
        <v>29</v>
      </c>
      <c r="B47" s="32" t="s">
        <v>51</v>
      </c>
      <c r="C47" s="32" t="s">
        <v>292</v>
      </c>
      <c r="D47" s="26" t="s">
        <v>29</v>
      </c>
      <c r="E47" s="90" t="s">
        <v>165</v>
      </c>
      <c r="F47" s="86" t="s">
        <v>166</v>
      </c>
      <c r="G47" s="27" t="s">
        <v>105</v>
      </c>
      <c r="H47" s="29">
        <v>70000</v>
      </c>
      <c r="I47" s="29">
        <f t="shared" si="18"/>
        <v>2009</v>
      </c>
      <c r="J47" s="29">
        <f t="shared" si="22"/>
        <v>2128</v>
      </c>
      <c r="K47" s="29">
        <f t="shared" si="19"/>
        <v>65863</v>
      </c>
      <c r="L47" s="29">
        <v>138.37</v>
      </c>
      <c r="M47" s="29">
        <v>5230.1099999999997</v>
      </c>
      <c r="N47" s="84"/>
      <c r="O47" s="29">
        <v>25</v>
      </c>
      <c r="P47" s="29">
        <v>3753.44</v>
      </c>
      <c r="Q47" s="89"/>
      <c r="R47" s="82">
        <f t="shared" si="20"/>
        <v>8053.8099999999995</v>
      </c>
      <c r="S47" s="29">
        <f t="shared" si="21"/>
        <v>61946.19</v>
      </c>
    </row>
    <row r="48" spans="1:19" ht="37.15" customHeight="1" thickBot="1" x14ac:dyDescent="0.45">
      <c r="A48" s="25">
        <v>30</v>
      </c>
      <c r="B48" s="32">
        <v>44207</v>
      </c>
      <c r="C48" s="32">
        <v>45294</v>
      </c>
      <c r="D48" s="26" t="s">
        <v>29</v>
      </c>
      <c r="E48" s="90" t="s">
        <v>167</v>
      </c>
      <c r="F48" s="86" t="s">
        <v>162</v>
      </c>
      <c r="G48" s="27" t="s">
        <v>105</v>
      </c>
      <c r="H48" s="29">
        <v>70000</v>
      </c>
      <c r="I48" s="29">
        <f t="shared" si="18"/>
        <v>2009</v>
      </c>
      <c r="J48" s="29">
        <f t="shared" si="22"/>
        <v>2128</v>
      </c>
      <c r="K48" s="29">
        <f t="shared" si="19"/>
        <v>65863</v>
      </c>
      <c r="L48" s="29">
        <v>5368.45</v>
      </c>
      <c r="M48" s="29"/>
      <c r="N48" s="84"/>
      <c r="O48" s="29">
        <v>25</v>
      </c>
      <c r="P48" s="84"/>
      <c r="Q48" s="89"/>
      <c r="R48" s="82">
        <f t="shared" si="20"/>
        <v>9530.4500000000007</v>
      </c>
      <c r="S48" s="29">
        <f t="shared" si="21"/>
        <v>60469.55</v>
      </c>
    </row>
    <row r="49" spans="1:19" ht="37.15" customHeight="1" thickBot="1" x14ac:dyDescent="0.45">
      <c r="A49" s="25">
        <v>31</v>
      </c>
      <c r="B49" s="32">
        <v>44621</v>
      </c>
      <c r="C49" s="32">
        <v>45357</v>
      </c>
      <c r="D49" s="26" t="s">
        <v>23</v>
      </c>
      <c r="E49" s="90" t="s">
        <v>168</v>
      </c>
      <c r="F49" s="86" t="s">
        <v>169</v>
      </c>
      <c r="G49" s="27" t="s">
        <v>105</v>
      </c>
      <c r="H49" s="29">
        <v>82000</v>
      </c>
      <c r="I49" s="29">
        <f t="shared" si="18"/>
        <v>2353.4</v>
      </c>
      <c r="J49" s="29">
        <f t="shared" si="22"/>
        <v>2492.8000000000002</v>
      </c>
      <c r="K49" s="29">
        <f t="shared" si="19"/>
        <v>77153.8</v>
      </c>
      <c r="L49" s="29">
        <v>5840.26</v>
      </c>
      <c r="M49" s="29">
        <v>2031.06</v>
      </c>
      <c r="N49" s="84"/>
      <c r="O49" s="29">
        <v>25</v>
      </c>
      <c r="P49" s="84"/>
      <c r="Q49" s="89"/>
      <c r="R49" s="82">
        <f t="shared" si="20"/>
        <v>10711.460000000001</v>
      </c>
      <c r="S49" s="29">
        <f t="shared" si="21"/>
        <v>71288.539999999994</v>
      </c>
    </row>
    <row r="50" spans="1:19" ht="37.15" customHeight="1" thickBot="1" x14ac:dyDescent="0.45">
      <c r="A50" s="25">
        <v>32</v>
      </c>
      <c r="B50" s="32">
        <v>44621</v>
      </c>
      <c r="C50" s="32">
        <v>45357</v>
      </c>
      <c r="D50" s="26" t="s">
        <v>29</v>
      </c>
      <c r="E50" s="90" t="s">
        <v>170</v>
      </c>
      <c r="F50" s="86" t="s">
        <v>137</v>
      </c>
      <c r="G50" s="27" t="s">
        <v>105</v>
      </c>
      <c r="H50" s="29">
        <v>60000</v>
      </c>
      <c r="I50" s="29">
        <f t="shared" si="18"/>
        <v>1722</v>
      </c>
      <c r="J50" s="29">
        <f t="shared" si="22"/>
        <v>1824</v>
      </c>
      <c r="K50" s="29">
        <f t="shared" si="19"/>
        <v>56454</v>
      </c>
      <c r="L50" s="29">
        <v>0</v>
      </c>
      <c r="M50" s="29">
        <v>6629.37</v>
      </c>
      <c r="N50" s="84"/>
      <c r="O50" s="29">
        <v>25</v>
      </c>
      <c r="P50" s="84"/>
      <c r="Q50" s="89"/>
      <c r="R50" s="82">
        <f t="shared" si="20"/>
        <v>3571</v>
      </c>
      <c r="S50" s="29">
        <f t="shared" si="21"/>
        <v>56429</v>
      </c>
    </row>
    <row r="51" spans="1:19" ht="37.15" customHeight="1" thickBot="1" x14ac:dyDescent="0.45">
      <c r="A51" s="25">
        <v>33</v>
      </c>
      <c r="B51" s="32">
        <v>44563</v>
      </c>
      <c r="C51" s="26">
        <v>45298</v>
      </c>
      <c r="D51" s="26" t="s">
        <v>29</v>
      </c>
      <c r="E51" s="90" t="s">
        <v>171</v>
      </c>
      <c r="F51" s="90" t="s">
        <v>137</v>
      </c>
      <c r="G51" s="27" t="s">
        <v>105</v>
      </c>
      <c r="H51" s="29">
        <v>60000</v>
      </c>
      <c r="I51" s="29">
        <f t="shared" si="18"/>
        <v>1722</v>
      </c>
      <c r="J51" s="29">
        <f t="shared" si="22"/>
        <v>1824</v>
      </c>
      <c r="K51" s="29">
        <f t="shared" si="19"/>
        <v>56454</v>
      </c>
      <c r="L51" s="29">
        <v>1635.31</v>
      </c>
      <c r="M51" s="29">
        <v>5338.05</v>
      </c>
      <c r="N51" s="84"/>
      <c r="O51" s="29">
        <f>25</f>
        <v>25</v>
      </c>
      <c r="P51" s="84"/>
      <c r="Q51" s="89"/>
      <c r="R51" s="82">
        <f t="shared" si="20"/>
        <v>5206.3099999999995</v>
      </c>
      <c r="S51" s="29">
        <f t="shared" si="21"/>
        <v>54793.69</v>
      </c>
    </row>
    <row r="52" spans="1:19" ht="37.15" customHeight="1" thickBot="1" x14ac:dyDescent="0.45">
      <c r="A52" s="25">
        <v>34</v>
      </c>
      <c r="B52" s="26">
        <v>44564</v>
      </c>
      <c r="C52" s="39">
        <v>45297</v>
      </c>
      <c r="D52" s="26" t="s">
        <v>29</v>
      </c>
      <c r="E52" s="90" t="s">
        <v>172</v>
      </c>
      <c r="F52" s="90" t="s">
        <v>131</v>
      </c>
      <c r="G52" s="27" t="s">
        <v>105</v>
      </c>
      <c r="H52" s="29">
        <v>70000</v>
      </c>
      <c r="I52" s="29">
        <f t="shared" si="18"/>
        <v>2009</v>
      </c>
      <c r="J52" s="29">
        <f t="shared" si="22"/>
        <v>2128</v>
      </c>
      <c r="K52" s="29">
        <f t="shared" si="19"/>
        <v>65863</v>
      </c>
      <c r="L52" s="29">
        <v>4607.59</v>
      </c>
      <c r="M52" s="29">
        <v>6129.37</v>
      </c>
      <c r="N52" s="84"/>
      <c r="O52" s="29">
        <v>25</v>
      </c>
      <c r="P52" s="84"/>
      <c r="Q52" s="89"/>
      <c r="R52" s="82">
        <f t="shared" si="20"/>
        <v>8769.59</v>
      </c>
      <c r="S52" s="29">
        <f t="shared" si="21"/>
        <v>61230.41</v>
      </c>
    </row>
    <row r="53" spans="1:19" ht="37.15" customHeight="1" thickBot="1" x14ac:dyDescent="0.45">
      <c r="A53" s="25">
        <v>35</v>
      </c>
      <c r="B53" s="26">
        <v>44564</v>
      </c>
      <c r="C53" s="39">
        <v>45297</v>
      </c>
      <c r="D53" s="26" t="s">
        <v>29</v>
      </c>
      <c r="E53" s="90" t="s">
        <v>173</v>
      </c>
      <c r="F53" s="90" t="s">
        <v>137</v>
      </c>
      <c r="G53" s="27" t="s">
        <v>105</v>
      </c>
      <c r="H53" s="29">
        <v>50000</v>
      </c>
      <c r="I53" s="29">
        <f t="shared" si="18"/>
        <v>1435</v>
      </c>
      <c r="J53" s="29">
        <f t="shared" si="22"/>
        <v>1520</v>
      </c>
      <c r="K53" s="29">
        <f t="shared" si="19"/>
        <v>47045</v>
      </c>
      <c r="L53" s="29">
        <v>0</v>
      </c>
      <c r="M53" s="29">
        <v>5543.71</v>
      </c>
      <c r="N53" s="84"/>
      <c r="O53" s="29">
        <f>25</f>
        <v>25</v>
      </c>
      <c r="P53" s="84"/>
      <c r="Q53" s="89"/>
      <c r="R53" s="82">
        <f t="shared" si="20"/>
        <v>2980</v>
      </c>
      <c r="S53" s="29">
        <f t="shared" si="21"/>
        <v>47020</v>
      </c>
    </row>
    <row r="54" spans="1:19" ht="37.15" customHeight="1" thickBot="1" x14ac:dyDescent="0.45">
      <c r="A54" s="25">
        <v>36</v>
      </c>
      <c r="B54" s="26">
        <v>44566</v>
      </c>
      <c r="C54" s="39">
        <v>45301</v>
      </c>
      <c r="D54" s="26" t="s">
        <v>29</v>
      </c>
      <c r="E54" s="90" t="s">
        <v>174</v>
      </c>
      <c r="F54" s="90" t="s">
        <v>162</v>
      </c>
      <c r="G54" s="27" t="s">
        <v>105</v>
      </c>
      <c r="H54" s="29">
        <v>85000</v>
      </c>
      <c r="I54" s="29">
        <f t="shared" si="18"/>
        <v>2439.5</v>
      </c>
      <c r="J54" s="29">
        <f t="shared" si="22"/>
        <v>2584</v>
      </c>
      <c r="K54" s="29">
        <f t="shared" si="19"/>
        <v>79976.5</v>
      </c>
      <c r="L54" s="29">
        <v>8576.99</v>
      </c>
      <c r="M54" s="29"/>
      <c r="N54" s="84"/>
      <c r="O54" s="29">
        <v>25</v>
      </c>
      <c r="P54" s="84"/>
      <c r="Q54" s="89"/>
      <c r="R54" s="82">
        <f t="shared" si="20"/>
        <v>13625.49</v>
      </c>
      <c r="S54" s="29">
        <f t="shared" si="21"/>
        <v>71374.509999999995</v>
      </c>
    </row>
    <row r="55" spans="1:19" ht="37.15" customHeight="1" thickBot="1" x14ac:dyDescent="0.45">
      <c r="A55" s="25">
        <v>37</v>
      </c>
      <c r="B55" s="26">
        <v>44621</v>
      </c>
      <c r="C55" s="39">
        <v>45357</v>
      </c>
      <c r="D55" s="26" t="s">
        <v>23</v>
      </c>
      <c r="E55" s="50" t="s">
        <v>175</v>
      </c>
      <c r="F55" s="90" t="s">
        <v>176</v>
      </c>
      <c r="G55" s="27" t="s">
        <v>105</v>
      </c>
      <c r="H55" s="29">
        <v>60000</v>
      </c>
      <c r="I55" s="29">
        <f t="shared" si="18"/>
        <v>1722</v>
      </c>
      <c r="J55" s="29">
        <f t="shared" si="22"/>
        <v>1824</v>
      </c>
      <c r="K55" s="29">
        <f t="shared" si="19"/>
        <v>56454</v>
      </c>
      <c r="L55" s="29">
        <v>3846.68</v>
      </c>
      <c r="M55" s="29"/>
      <c r="N55" s="84"/>
      <c r="O55" s="29">
        <f>25</f>
        <v>25</v>
      </c>
      <c r="P55" s="84"/>
      <c r="Q55" s="89"/>
      <c r="R55" s="82">
        <f t="shared" si="20"/>
        <v>7417.68</v>
      </c>
      <c r="S55" s="29">
        <f t="shared" si="21"/>
        <v>52582.32</v>
      </c>
    </row>
    <row r="56" spans="1:19" ht="37.15" customHeight="1" thickBot="1" x14ac:dyDescent="0.45">
      <c r="A56" s="25">
        <v>38</v>
      </c>
      <c r="B56" s="26">
        <v>44936</v>
      </c>
      <c r="C56" s="39">
        <v>45301</v>
      </c>
      <c r="D56" s="26" t="s">
        <v>29</v>
      </c>
      <c r="E56" s="50" t="s">
        <v>177</v>
      </c>
      <c r="F56" s="90" t="s">
        <v>178</v>
      </c>
      <c r="G56" s="27" t="s">
        <v>105</v>
      </c>
      <c r="H56" s="29">
        <v>72000</v>
      </c>
      <c r="I56" s="29">
        <f t="shared" si="18"/>
        <v>2066.4</v>
      </c>
      <c r="J56" s="29">
        <f t="shared" si="22"/>
        <v>2188.8000000000002</v>
      </c>
      <c r="K56" s="29">
        <f t="shared" si="19"/>
        <v>67744.800000000003</v>
      </c>
      <c r="L56" s="29">
        <v>0</v>
      </c>
      <c r="M56" s="29">
        <v>24508.36</v>
      </c>
      <c r="N56" s="84"/>
      <c r="O56" s="29">
        <v>25</v>
      </c>
      <c r="P56" s="84"/>
      <c r="Q56" s="89"/>
      <c r="R56" s="82">
        <f t="shared" si="20"/>
        <v>4280.2000000000007</v>
      </c>
      <c r="S56" s="29">
        <f t="shared" si="21"/>
        <v>67719.8</v>
      </c>
    </row>
    <row r="57" spans="1:19" ht="40.15" customHeight="1" thickBot="1" x14ac:dyDescent="0.45">
      <c r="A57" s="25"/>
      <c r="B57" s="148" t="s">
        <v>123</v>
      </c>
      <c r="C57" s="149"/>
      <c r="D57" s="149"/>
      <c r="E57" s="149"/>
      <c r="F57" s="150"/>
      <c r="G57" s="98"/>
      <c r="H57" s="85">
        <f>H43+H44+H45+H47+H46+H48+H49+H50+H51+H52+H53+H54+H55+H56</f>
        <v>1239000</v>
      </c>
      <c r="I57" s="85">
        <f t="shared" ref="I57:S57" si="23">I43+I44+I45+I47+I46+I48+I49+I50+I51+I52+I53+I54+I55+I56</f>
        <v>35559.300000000003</v>
      </c>
      <c r="J57" s="85">
        <f t="shared" si="23"/>
        <v>36708.76</v>
      </c>
      <c r="K57" s="85">
        <f t="shared" si="23"/>
        <v>1166731.9400000002</v>
      </c>
      <c r="L57" s="85">
        <f t="shared" si="23"/>
        <v>115930.89999999998</v>
      </c>
      <c r="M57" s="85">
        <f t="shared" si="23"/>
        <v>55410.03</v>
      </c>
      <c r="N57" s="85">
        <f t="shared" si="23"/>
        <v>1715.46</v>
      </c>
      <c r="O57" s="85">
        <f t="shared" si="23"/>
        <v>350</v>
      </c>
      <c r="P57" s="85">
        <f t="shared" si="23"/>
        <v>3753.44</v>
      </c>
      <c r="Q57" s="85">
        <f t="shared" si="23"/>
        <v>0</v>
      </c>
      <c r="R57" s="85">
        <f t="shared" si="23"/>
        <v>194017.86</v>
      </c>
      <c r="S57" s="85">
        <f t="shared" si="23"/>
        <v>1044982.1400000001</v>
      </c>
    </row>
    <row r="58" spans="1:19" ht="48.6" customHeight="1" thickBot="1" x14ac:dyDescent="0.45">
      <c r="A58" s="25"/>
      <c r="B58" s="157" t="s">
        <v>179</v>
      </c>
      <c r="C58" s="158"/>
      <c r="D58" s="158"/>
      <c r="E58" s="159"/>
      <c r="F58" s="35"/>
      <c r="G58" s="98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84"/>
      <c r="S58" s="84"/>
    </row>
    <row r="59" spans="1:19" ht="40.15" customHeight="1" thickBot="1" x14ac:dyDescent="0.45">
      <c r="A59" s="25">
        <v>39</v>
      </c>
      <c r="B59" s="26">
        <v>44198</v>
      </c>
      <c r="C59" s="26">
        <v>45298</v>
      </c>
      <c r="D59" s="26" t="s">
        <v>29</v>
      </c>
      <c r="E59" s="90" t="s">
        <v>180</v>
      </c>
      <c r="F59" s="86" t="s">
        <v>181</v>
      </c>
      <c r="G59" s="100" t="s">
        <v>105</v>
      </c>
      <c r="H59" s="29">
        <v>150000</v>
      </c>
      <c r="I59" s="29">
        <f>H59*2.87%</f>
        <v>4305</v>
      </c>
      <c r="J59" s="82">
        <f>H59*3.04%</f>
        <v>4560</v>
      </c>
      <c r="K59" s="29">
        <f>H59-I59-J59</f>
        <v>141135</v>
      </c>
      <c r="L59" s="41">
        <v>23866.69</v>
      </c>
      <c r="M59" s="29"/>
      <c r="N59" s="29"/>
      <c r="O59" s="29">
        <v>25</v>
      </c>
      <c r="P59" s="29"/>
      <c r="Q59" s="82">
        <v>0</v>
      </c>
      <c r="R59" s="82">
        <f>I59+J59+N59+O59+P59+L59-Q59</f>
        <v>32756.69</v>
      </c>
      <c r="S59" s="29">
        <f t="shared" ref="S59" si="24">H59-R59</f>
        <v>117243.31</v>
      </c>
    </row>
    <row r="60" spans="1:19" ht="40.15" customHeight="1" thickBot="1" x14ac:dyDescent="0.45">
      <c r="A60" s="25">
        <v>40</v>
      </c>
      <c r="B60" s="26">
        <v>44199</v>
      </c>
      <c r="C60" s="26">
        <v>45298</v>
      </c>
      <c r="D60" s="26" t="s">
        <v>29</v>
      </c>
      <c r="E60" s="90" t="s">
        <v>182</v>
      </c>
      <c r="F60" s="90" t="s">
        <v>183</v>
      </c>
      <c r="G60" s="100" t="s">
        <v>105</v>
      </c>
      <c r="H60" s="29">
        <v>80000</v>
      </c>
      <c r="I60" s="29">
        <f>H60*2.87%</f>
        <v>2296</v>
      </c>
      <c r="J60" s="82">
        <f>H60*3.04%</f>
        <v>2432</v>
      </c>
      <c r="K60" s="29">
        <f>H60-I60-J60</f>
        <v>75272</v>
      </c>
      <c r="L60" s="29">
        <v>288.95</v>
      </c>
      <c r="M60" s="29">
        <v>7111.92</v>
      </c>
      <c r="N60" s="29">
        <v>0</v>
      </c>
      <c r="O60" s="29">
        <v>25</v>
      </c>
      <c r="P60" s="29">
        <v>3753.44</v>
      </c>
      <c r="Q60" s="82"/>
      <c r="R60" s="82">
        <f>I60+J60+L60+N60+O60+P60</f>
        <v>8795.39</v>
      </c>
      <c r="S60" s="29">
        <f>H60-R60</f>
        <v>71204.61</v>
      </c>
    </row>
    <row r="61" spans="1:19" ht="40.15" customHeight="1" thickBot="1" x14ac:dyDescent="0.45">
      <c r="A61" s="25">
        <v>41</v>
      </c>
      <c r="B61" s="26" t="s">
        <v>22</v>
      </c>
      <c r="C61" s="26">
        <v>45298</v>
      </c>
      <c r="D61" s="26" t="s">
        <v>29</v>
      </c>
      <c r="E61" s="90" t="s">
        <v>184</v>
      </c>
      <c r="F61" s="90" t="s">
        <v>183</v>
      </c>
      <c r="G61" s="100" t="s">
        <v>105</v>
      </c>
      <c r="H61" s="29">
        <v>95000</v>
      </c>
      <c r="I61" s="29">
        <f>H61*2.87%</f>
        <v>2726.5</v>
      </c>
      <c r="J61" s="82">
        <f>H61*3.04%</f>
        <v>2888</v>
      </c>
      <c r="K61" s="29">
        <f>H61-I61-J61</f>
        <v>89385.5</v>
      </c>
      <c r="L61" s="29">
        <v>10534.88</v>
      </c>
      <c r="M61" s="29"/>
      <c r="N61" s="29">
        <v>1715.46</v>
      </c>
      <c r="O61" s="29">
        <v>25</v>
      </c>
      <c r="P61" s="29">
        <v>3753.44</v>
      </c>
      <c r="Q61" s="82"/>
      <c r="R61" s="82">
        <f>I61+J61+L61+N61+O61+P61</f>
        <v>21643.279999999999</v>
      </c>
      <c r="S61" s="29">
        <f>H61-R61</f>
        <v>73356.72</v>
      </c>
    </row>
    <row r="62" spans="1:19" ht="48.6" customHeight="1" thickBot="1" x14ac:dyDescent="0.45">
      <c r="A62" s="25"/>
      <c r="B62" s="148" t="s">
        <v>123</v>
      </c>
      <c r="C62" s="149"/>
      <c r="D62" s="149"/>
      <c r="E62" s="149"/>
      <c r="F62" s="150"/>
      <c r="G62" s="40"/>
      <c r="H62" s="85">
        <f>H59+H60+H61</f>
        <v>325000</v>
      </c>
      <c r="I62" s="85">
        <f t="shared" ref="I62:S62" si="25">I59+I60+I61</f>
        <v>9327.5</v>
      </c>
      <c r="J62" s="85">
        <f t="shared" si="25"/>
        <v>9880</v>
      </c>
      <c r="K62" s="85">
        <f t="shared" si="25"/>
        <v>305792.5</v>
      </c>
      <c r="L62" s="85">
        <f t="shared" si="25"/>
        <v>34690.519999999997</v>
      </c>
      <c r="M62" s="85">
        <f t="shared" si="25"/>
        <v>7111.92</v>
      </c>
      <c r="N62" s="85">
        <f t="shared" si="25"/>
        <v>1715.46</v>
      </c>
      <c r="O62" s="85">
        <f t="shared" si="25"/>
        <v>75</v>
      </c>
      <c r="P62" s="85">
        <f t="shared" si="25"/>
        <v>7506.88</v>
      </c>
      <c r="Q62" s="85">
        <f t="shared" si="25"/>
        <v>0</v>
      </c>
      <c r="R62" s="85">
        <f t="shared" si="25"/>
        <v>63195.360000000001</v>
      </c>
      <c r="S62" s="85">
        <f t="shared" si="25"/>
        <v>261804.63999999998</v>
      </c>
    </row>
    <row r="63" spans="1:19" ht="48.6" customHeight="1" thickBot="1" x14ac:dyDescent="0.45">
      <c r="A63" s="101"/>
      <c r="B63" s="157" t="s">
        <v>185</v>
      </c>
      <c r="C63" s="158"/>
      <c r="D63" s="158"/>
      <c r="E63" s="158"/>
      <c r="F63" s="35"/>
      <c r="G63" s="102"/>
      <c r="H63" s="84"/>
      <c r="I63" s="84"/>
      <c r="J63" s="84"/>
      <c r="K63" s="84"/>
      <c r="L63" s="84"/>
      <c r="M63" s="84"/>
      <c r="N63" s="84"/>
      <c r="O63" s="84"/>
      <c r="P63" s="84"/>
      <c r="Q63" s="89"/>
      <c r="R63" s="89"/>
      <c r="S63" s="84"/>
    </row>
    <row r="64" spans="1:19" ht="36.6" customHeight="1" thickBot="1" x14ac:dyDescent="0.45">
      <c r="A64" s="101">
        <v>42</v>
      </c>
      <c r="B64" s="32" t="s">
        <v>186</v>
      </c>
      <c r="C64" s="32">
        <v>45298</v>
      </c>
      <c r="D64" s="26" t="s">
        <v>23</v>
      </c>
      <c r="E64" s="90" t="s">
        <v>187</v>
      </c>
      <c r="F64" s="86" t="s">
        <v>188</v>
      </c>
      <c r="G64" s="103" t="s">
        <v>105</v>
      </c>
      <c r="H64" s="29">
        <v>95000</v>
      </c>
      <c r="I64" s="29">
        <f>H64*2.87%</f>
        <v>2726.5</v>
      </c>
      <c r="J64" s="29">
        <f>H64*3.04%</f>
        <v>2888</v>
      </c>
      <c r="K64" s="29">
        <v>89385.5</v>
      </c>
      <c r="L64" s="29">
        <v>10929.24</v>
      </c>
      <c r="M64" s="29"/>
      <c r="N64" s="29"/>
      <c r="O64" s="29">
        <v>25</v>
      </c>
      <c r="P64" s="29"/>
      <c r="Q64" s="29"/>
      <c r="R64" s="29">
        <f>I64+J64+L64+N64+O64+P64</f>
        <v>16568.739999999998</v>
      </c>
      <c r="S64" s="29">
        <f>H64-R64</f>
        <v>78431.260000000009</v>
      </c>
    </row>
    <row r="65" spans="1:19" ht="36.6" customHeight="1" thickBot="1" x14ac:dyDescent="0.45">
      <c r="A65" s="101"/>
      <c r="B65" s="148" t="s">
        <v>38</v>
      </c>
      <c r="C65" s="149"/>
      <c r="D65" s="149"/>
      <c r="E65" s="149"/>
      <c r="F65" s="150"/>
      <c r="G65" s="102"/>
      <c r="H65" s="85">
        <f>H64</f>
        <v>95000</v>
      </c>
      <c r="I65" s="85">
        <f>I64</f>
        <v>2726.5</v>
      </c>
      <c r="J65" s="85">
        <f t="shared" ref="J65:Q65" si="26">J64</f>
        <v>2888</v>
      </c>
      <c r="K65" s="85">
        <f t="shared" si="26"/>
        <v>89385.5</v>
      </c>
      <c r="L65" s="85">
        <f>L64</f>
        <v>10929.24</v>
      </c>
      <c r="M65" s="85"/>
      <c r="N65" s="85">
        <f t="shared" si="26"/>
        <v>0</v>
      </c>
      <c r="O65" s="85">
        <f t="shared" si="26"/>
        <v>25</v>
      </c>
      <c r="P65" s="85">
        <f t="shared" si="26"/>
        <v>0</v>
      </c>
      <c r="Q65" s="85">
        <f t="shared" si="26"/>
        <v>0</v>
      </c>
      <c r="R65" s="85">
        <f>R64</f>
        <v>16568.739999999998</v>
      </c>
      <c r="S65" s="85">
        <f>S64</f>
        <v>78431.260000000009</v>
      </c>
    </row>
    <row r="66" spans="1:19" s="105" customFormat="1" ht="48.6" customHeight="1" thickBot="1" x14ac:dyDescent="0.45">
      <c r="A66" s="104"/>
      <c r="B66" s="157" t="s">
        <v>189</v>
      </c>
      <c r="C66" s="158"/>
      <c r="D66" s="158"/>
      <c r="E66" s="159"/>
      <c r="G66" s="106"/>
      <c r="H66" s="106"/>
      <c r="I66" s="106"/>
      <c r="J66" s="106"/>
      <c r="K66" s="106"/>
      <c r="L66" s="106"/>
      <c r="M66" s="107"/>
      <c r="N66" s="106"/>
      <c r="O66" s="106"/>
      <c r="P66" s="106"/>
      <c r="Q66" s="106"/>
      <c r="R66" s="106"/>
      <c r="S66" s="108"/>
    </row>
    <row r="67" spans="1:19" s="105" customFormat="1" ht="37.15" customHeight="1" thickBot="1" x14ac:dyDescent="0.45">
      <c r="A67" s="25">
        <v>43</v>
      </c>
      <c r="B67" s="32">
        <v>44198</v>
      </c>
      <c r="C67" s="32">
        <v>45298</v>
      </c>
      <c r="D67" s="26" t="s">
        <v>23</v>
      </c>
      <c r="E67" s="90" t="s">
        <v>190</v>
      </c>
      <c r="F67" s="86" t="s">
        <v>191</v>
      </c>
      <c r="G67" s="103" t="s">
        <v>105</v>
      </c>
      <c r="H67" s="29">
        <v>135000</v>
      </c>
      <c r="I67" s="29">
        <f>H67*2.87%</f>
        <v>3874.5</v>
      </c>
      <c r="J67" s="82">
        <f>H67*3.04%</f>
        <v>4104</v>
      </c>
      <c r="K67" s="29">
        <f>H67-I67-J67</f>
        <v>127021.5</v>
      </c>
      <c r="L67" s="41">
        <v>20338.310000000001</v>
      </c>
      <c r="M67" s="29"/>
      <c r="N67" s="109"/>
      <c r="O67" s="29">
        <v>25</v>
      </c>
      <c r="P67" s="29">
        <v>12370.86</v>
      </c>
      <c r="Q67" s="82">
        <v>0</v>
      </c>
      <c r="R67" s="82">
        <f>I67+J67+L67+N67+O67+P67-Q67</f>
        <v>40712.67</v>
      </c>
      <c r="S67" s="29">
        <f>H67-R67</f>
        <v>94287.33</v>
      </c>
    </row>
    <row r="68" spans="1:19" s="107" customFormat="1" ht="37.15" customHeight="1" thickBot="1" x14ac:dyDescent="0.45">
      <c r="A68" s="25">
        <v>44</v>
      </c>
      <c r="B68" s="32">
        <v>44198</v>
      </c>
      <c r="C68" s="32">
        <v>45298</v>
      </c>
      <c r="D68" s="26" t="s">
        <v>29</v>
      </c>
      <c r="E68" s="90" t="s">
        <v>192</v>
      </c>
      <c r="F68" s="86" t="s">
        <v>137</v>
      </c>
      <c r="G68" s="103" t="s">
        <v>105</v>
      </c>
      <c r="H68" s="29">
        <v>60000</v>
      </c>
      <c r="I68" s="29">
        <f>H68*2.87%</f>
        <v>1722</v>
      </c>
      <c r="J68" s="82">
        <f>H68*3.04%</f>
        <v>1824</v>
      </c>
      <c r="K68" s="29">
        <f>H68-I68-J68</f>
        <v>56454</v>
      </c>
      <c r="L68" s="41">
        <v>343.99</v>
      </c>
      <c r="M68" s="48">
        <v>6629.37</v>
      </c>
      <c r="N68" s="109"/>
      <c r="O68" s="29">
        <v>25</v>
      </c>
      <c r="P68" s="29"/>
      <c r="Q68" s="82"/>
      <c r="R68" s="82">
        <f>I68+J68+L68+N68+O68+P68</f>
        <v>3914.99</v>
      </c>
      <c r="S68" s="29">
        <f>H68-R68</f>
        <v>56085.01</v>
      </c>
    </row>
    <row r="69" spans="1:19" s="107" customFormat="1" ht="48.6" customHeight="1" thickBot="1" x14ac:dyDescent="0.45">
      <c r="A69" s="105"/>
      <c r="B69" s="148" t="s">
        <v>38</v>
      </c>
      <c r="C69" s="149"/>
      <c r="D69" s="149"/>
      <c r="E69" s="149"/>
      <c r="F69" s="150"/>
      <c r="G69" s="110"/>
      <c r="H69" s="85">
        <f>H67+H68</f>
        <v>195000</v>
      </c>
      <c r="I69" s="85">
        <f t="shared" ref="I69:S69" si="27">I67+I68</f>
        <v>5596.5</v>
      </c>
      <c r="J69" s="85">
        <f t="shared" si="27"/>
        <v>5928</v>
      </c>
      <c r="K69" s="85">
        <f t="shared" si="27"/>
        <v>183475.5</v>
      </c>
      <c r="L69" s="85">
        <f t="shared" si="27"/>
        <v>20682.300000000003</v>
      </c>
      <c r="M69" s="85">
        <f t="shared" si="27"/>
        <v>6629.37</v>
      </c>
      <c r="N69" s="85">
        <f t="shared" si="27"/>
        <v>0</v>
      </c>
      <c r="O69" s="85">
        <f t="shared" si="27"/>
        <v>50</v>
      </c>
      <c r="P69" s="85">
        <f t="shared" si="27"/>
        <v>12370.86</v>
      </c>
      <c r="Q69" s="85">
        <f t="shared" si="27"/>
        <v>0</v>
      </c>
      <c r="R69" s="85">
        <f t="shared" si="27"/>
        <v>44627.659999999996</v>
      </c>
      <c r="S69" s="85">
        <f t="shared" si="27"/>
        <v>150372.34</v>
      </c>
    </row>
    <row r="70" spans="1:19" ht="48.6" customHeight="1" thickBot="1" x14ac:dyDescent="0.45">
      <c r="A70" s="25"/>
      <c r="B70" s="158" t="s">
        <v>193</v>
      </c>
      <c r="C70" s="158"/>
      <c r="D70" s="158"/>
      <c r="E70" s="158"/>
      <c r="F70" s="111"/>
      <c r="G70" s="40"/>
      <c r="H70" s="29"/>
      <c r="I70" s="29"/>
      <c r="J70" s="29"/>
      <c r="K70" s="29"/>
      <c r="L70" s="29"/>
      <c r="M70" s="29"/>
      <c r="N70" s="29"/>
      <c r="O70" s="29"/>
      <c r="P70" s="29"/>
      <c r="Q70" s="82"/>
      <c r="R70" s="82"/>
      <c r="S70" s="29"/>
    </row>
    <row r="71" spans="1:19" ht="35.450000000000003" customHeight="1" thickBot="1" x14ac:dyDescent="0.45">
      <c r="A71" s="25">
        <v>45</v>
      </c>
      <c r="B71" s="26">
        <v>44534</v>
      </c>
      <c r="C71" s="26">
        <v>45633</v>
      </c>
      <c r="D71" s="26" t="s">
        <v>23</v>
      </c>
      <c r="E71" s="90" t="s">
        <v>194</v>
      </c>
      <c r="F71" s="90" t="s">
        <v>195</v>
      </c>
      <c r="G71" s="39" t="s">
        <v>105</v>
      </c>
      <c r="H71" s="29">
        <v>140000</v>
      </c>
      <c r="I71" s="29">
        <f>H71*2.87%</f>
        <v>4018</v>
      </c>
      <c r="J71" s="29">
        <f>H71*3.04%</f>
        <v>4256</v>
      </c>
      <c r="K71" s="29">
        <f>H71-I71-J71</f>
        <v>131726</v>
      </c>
      <c r="L71" s="29">
        <v>21514.37</v>
      </c>
      <c r="M71" s="29"/>
      <c r="N71" s="29">
        <v>0</v>
      </c>
      <c r="O71" s="29">
        <v>25</v>
      </c>
      <c r="P71" s="84"/>
      <c r="Q71" s="82">
        <v>0</v>
      </c>
      <c r="R71" s="82">
        <f>I71+J71+L71+N71+O71+P71-Q71</f>
        <v>29813.37</v>
      </c>
      <c r="S71" s="29">
        <f>H71-R71</f>
        <v>110186.63</v>
      </c>
    </row>
    <row r="72" spans="1:19" ht="36.6" customHeight="1" thickBot="1" x14ac:dyDescent="0.45">
      <c r="A72" s="25">
        <v>46</v>
      </c>
      <c r="B72" s="26" t="s">
        <v>196</v>
      </c>
      <c r="C72" s="26" t="s">
        <v>293</v>
      </c>
      <c r="D72" s="26" t="s">
        <v>23</v>
      </c>
      <c r="E72" s="90" t="s">
        <v>198</v>
      </c>
      <c r="F72" s="90" t="s">
        <v>199</v>
      </c>
      <c r="G72" s="39" t="s">
        <v>105</v>
      </c>
      <c r="H72" s="29">
        <v>90000</v>
      </c>
      <c r="I72" s="29">
        <f>H72*2.87%</f>
        <v>2583</v>
      </c>
      <c r="J72" s="29">
        <f>H72*3.04%</f>
        <v>2736</v>
      </c>
      <c r="K72" s="29">
        <f>H72-I72-J72</f>
        <v>84681</v>
      </c>
      <c r="L72" s="29">
        <v>8964.39</v>
      </c>
      <c r="M72" s="29"/>
      <c r="N72" s="29">
        <f>1715.45*2</f>
        <v>3430.9</v>
      </c>
      <c r="O72" s="29">
        <v>25</v>
      </c>
      <c r="P72" s="84"/>
      <c r="Q72" s="89"/>
      <c r="R72" s="82">
        <f>I72+J72+L72+N72+O72+P72</f>
        <v>17739.29</v>
      </c>
      <c r="S72" s="29">
        <f>H72-R72</f>
        <v>72260.709999999992</v>
      </c>
    </row>
    <row r="73" spans="1:19" ht="36.6" customHeight="1" thickBot="1" x14ac:dyDescent="0.45">
      <c r="A73" s="25">
        <v>47</v>
      </c>
      <c r="B73" s="26">
        <v>44564</v>
      </c>
      <c r="C73" s="26">
        <v>45297</v>
      </c>
      <c r="D73" s="26" t="s">
        <v>23</v>
      </c>
      <c r="E73" s="90" t="s">
        <v>200</v>
      </c>
      <c r="F73" s="90" t="s">
        <v>201</v>
      </c>
      <c r="G73" s="39" t="s">
        <v>105</v>
      </c>
      <c r="H73" s="29">
        <v>50000</v>
      </c>
      <c r="I73" s="29">
        <f>H73*2.87%</f>
        <v>1435</v>
      </c>
      <c r="J73" s="29">
        <f>H73*3.04%</f>
        <v>1520</v>
      </c>
      <c r="K73" s="29">
        <f>H73-I73-J73</f>
        <v>47045</v>
      </c>
      <c r="L73" s="29">
        <v>0</v>
      </c>
      <c r="M73" s="29">
        <v>6427.45</v>
      </c>
      <c r="N73" s="29">
        <v>0</v>
      </c>
      <c r="O73" s="29">
        <v>25</v>
      </c>
      <c r="P73" s="84"/>
      <c r="Q73" s="89"/>
      <c r="R73" s="82">
        <f>I73+J73+L73+N73+O73+P73</f>
        <v>2980</v>
      </c>
      <c r="S73" s="29">
        <f>H73-R73</f>
        <v>47020</v>
      </c>
    </row>
    <row r="74" spans="1:19" ht="36.6" customHeight="1" thickBot="1" x14ac:dyDescent="0.45">
      <c r="A74" s="25">
        <v>48</v>
      </c>
      <c r="B74" s="26">
        <v>44565</v>
      </c>
      <c r="C74" s="26">
        <v>45300</v>
      </c>
      <c r="D74" s="26" t="s">
        <v>23</v>
      </c>
      <c r="E74" s="90" t="s">
        <v>202</v>
      </c>
      <c r="F74" s="90" t="s">
        <v>203</v>
      </c>
      <c r="G74" s="39" t="s">
        <v>105</v>
      </c>
      <c r="H74" s="29">
        <v>75000</v>
      </c>
      <c r="I74" s="29">
        <f>H74*2.87%</f>
        <v>2152.5</v>
      </c>
      <c r="J74" s="29">
        <f>H74*3.04%</f>
        <v>2280</v>
      </c>
      <c r="K74" s="29">
        <f>H74-I74-J74</f>
        <v>70567.5</v>
      </c>
      <c r="L74" s="29">
        <v>3431.51</v>
      </c>
      <c r="M74" s="29">
        <v>2877.87</v>
      </c>
      <c r="N74" s="29">
        <v>0</v>
      </c>
      <c r="O74" s="29">
        <v>25</v>
      </c>
      <c r="P74" s="84"/>
      <c r="Q74" s="89"/>
      <c r="R74" s="82">
        <f>I74+J74+L74+N74+O74+P74</f>
        <v>7889.01</v>
      </c>
      <c r="S74" s="29">
        <f>H74-R74</f>
        <v>67110.990000000005</v>
      </c>
    </row>
    <row r="75" spans="1:19" ht="48.6" customHeight="1" thickBot="1" x14ac:dyDescent="0.45">
      <c r="A75" s="111"/>
      <c r="B75" s="148" t="s">
        <v>123</v>
      </c>
      <c r="C75" s="149"/>
      <c r="D75" s="149"/>
      <c r="E75" s="149"/>
      <c r="F75" s="150"/>
      <c r="G75" s="34"/>
      <c r="H75" s="85">
        <f>H71+H72+H73+H74</f>
        <v>355000</v>
      </c>
      <c r="I75" s="85">
        <f t="shared" ref="I75:S75" si="28">I71+I72+I73+I74</f>
        <v>10188.5</v>
      </c>
      <c r="J75" s="85">
        <f t="shared" si="28"/>
        <v>10792</v>
      </c>
      <c r="K75" s="85">
        <f t="shared" si="28"/>
        <v>334019.5</v>
      </c>
      <c r="L75" s="85">
        <f t="shared" si="28"/>
        <v>33910.269999999997</v>
      </c>
      <c r="M75" s="85">
        <f t="shared" si="28"/>
        <v>9305.32</v>
      </c>
      <c r="N75" s="85">
        <f t="shared" si="28"/>
        <v>3430.9</v>
      </c>
      <c r="O75" s="85">
        <f t="shared" si="28"/>
        <v>100</v>
      </c>
      <c r="P75" s="85">
        <f t="shared" si="28"/>
        <v>0</v>
      </c>
      <c r="Q75" s="85">
        <f t="shared" si="28"/>
        <v>0</v>
      </c>
      <c r="R75" s="85">
        <f t="shared" si="28"/>
        <v>58421.670000000006</v>
      </c>
      <c r="S75" s="85">
        <f t="shared" si="28"/>
        <v>296578.33</v>
      </c>
    </row>
    <row r="76" spans="1:19" ht="48.6" customHeight="1" thickBot="1" x14ac:dyDescent="0.45">
      <c r="A76" s="111"/>
      <c r="B76" s="157" t="s">
        <v>204</v>
      </c>
      <c r="C76" s="168"/>
      <c r="D76" s="158"/>
      <c r="E76" s="159"/>
      <c r="F76" s="111"/>
      <c r="G76" s="34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84"/>
    </row>
    <row r="77" spans="1:19" ht="48" customHeight="1" thickBot="1" x14ac:dyDescent="0.45">
      <c r="A77" s="25">
        <v>49</v>
      </c>
      <c r="B77" s="32" t="s">
        <v>125</v>
      </c>
      <c r="C77" s="26">
        <v>45633</v>
      </c>
      <c r="D77" s="39" t="s">
        <v>29</v>
      </c>
      <c r="E77" s="90" t="s">
        <v>205</v>
      </c>
      <c r="F77" s="112" t="s">
        <v>206</v>
      </c>
      <c r="G77" s="39" t="s">
        <v>105</v>
      </c>
      <c r="H77" s="29">
        <v>245000</v>
      </c>
      <c r="I77" s="29">
        <f>H77*2.87%</f>
        <v>7031.5</v>
      </c>
      <c r="J77" s="29">
        <f>193525*3.04%</f>
        <v>5883.16</v>
      </c>
      <c r="K77" s="29">
        <f>H77-I77-J77</f>
        <v>232085.34</v>
      </c>
      <c r="L77" s="29">
        <v>46604.2</v>
      </c>
      <c r="M77" s="41"/>
      <c r="N77" s="84"/>
      <c r="O77" s="29">
        <v>25</v>
      </c>
      <c r="P77" s="99"/>
      <c r="Q77" s="84"/>
      <c r="R77" s="82">
        <f>I77+J77+L77+N77+O77+P77</f>
        <v>59543.86</v>
      </c>
      <c r="S77" s="29">
        <f>H77-R77</f>
        <v>185456.14</v>
      </c>
    </row>
    <row r="78" spans="1:19" ht="48.6" customHeight="1" thickBot="1" x14ac:dyDescent="0.45">
      <c r="A78" s="25">
        <v>50</v>
      </c>
      <c r="B78" s="32">
        <v>44936</v>
      </c>
      <c r="C78" s="26">
        <v>45300</v>
      </c>
      <c r="D78" s="39" t="s">
        <v>29</v>
      </c>
      <c r="E78" s="90" t="s">
        <v>207</v>
      </c>
      <c r="F78" s="112" t="s">
        <v>208</v>
      </c>
      <c r="G78" s="39" t="s">
        <v>105</v>
      </c>
      <c r="H78" s="29">
        <v>80000</v>
      </c>
      <c r="I78" s="29">
        <f>H78*2.87%</f>
        <v>2296</v>
      </c>
      <c r="J78" s="29">
        <f>H78*3.04%</f>
        <v>2432</v>
      </c>
      <c r="K78" s="29">
        <f t="shared" ref="K78:K81" si="29">H78-I78-J78</f>
        <v>75272</v>
      </c>
      <c r="L78" s="29">
        <v>0</v>
      </c>
      <c r="M78" s="41">
        <v>27202.82</v>
      </c>
      <c r="N78" s="84"/>
      <c r="O78" s="29">
        <v>25</v>
      </c>
      <c r="P78" s="99"/>
      <c r="Q78" s="84"/>
      <c r="R78" s="82">
        <f>I78+J78+L78+N78+O78+P78</f>
        <v>4753</v>
      </c>
      <c r="S78" s="29">
        <f>H78-R78</f>
        <v>75247</v>
      </c>
    </row>
    <row r="79" spans="1:19" ht="48.6" customHeight="1" thickBot="1" x14ac:dyDescent="0.45">
      <c r="A79" s="25">
        <v>51</v>
      </c>
      <c r="B79" s="32">
        <v>44572</v>
      </c>
      <c r="C79" s="26">
        <v>45633</v>
      </c>
      <c r="D79" s="39" t="s">
        <v>29</v>
      </c>
      <c r="E79" s="90" t="s">
        <v>209</v>
      </c>
      <c r="F79" s="112" t="s">
        <v>210</v>
      </c>
      <c r="G79" s="39" t="s">
        <v>105</v>
      </c>
      <c r="H79" s="29">
        <v>105000</v>
      </c>
      <c r="I79" s="29">
        <f t="shared" ref="I79:I81" si="30">H79*2.87%</f>
        <v>3013.5</v>
      </c>
      <c r="J79" s="29">
        <f t="shared" ref="J79:J81" si="31">H79*3.04%</f>
        <v>3192</v>
      </c>
      <c r="K79" s="29">
        <f t="shared" si="29"/>
        <v>98794.5</v>
      </c>
      <c r="L79" s="29">
        <v>13281.49</v>
      </c>
      <c r="M79" s="41"/>
      <c r="N79" s="84"/>
      <c r="O79" s="29">
        <v>25</v>
      </c>
      <c r="P79" s="99"/>
      <c r="Q79" s="84"/>
      <c r="R79" s="82">
        <f t="shared" ref="R79:R81" si="32">I79+J79+L79+N79+O79+P79</f>
        <v>19511.989999999998</v>
      </c>
      <c r="S79" s="29">
        <f t="shared" ref="S79:S81" si="33">H79-R79</f>
        <v>85488.010000000009</v>
      </c>
    </row>
    <row r="80" spans="1:19" ht="48" customHeight="1" thickBot="1" x14ac:dyDescent="0.45">
      <c r="A80" s="25">
        <v>52</v>
      </c>
      <c r="B80" s="32">
        <v>44572</v>
      </c>
      <c r="C80" s="26">
        <v>45633</v>
      </c>
      <c r="D80" s="39" t="s">
        <v>29</v>
      </c>
      <c r="E80" s="90" t="s">
        <v>211</v>
      </c>
      <c r="F80" s="112" t="s">
        <v>286</v>
      </c>
      <c r="G80" s="39" t="s">
        <v>105</v>
      </c>
      <c r="H80" s="29">
        <v>70000</v>
      </c>
      <c r="I80" s="29">
        <f t="shared" si="30"/>
        <v>2009</v>
      </c>
      <c r="J80" s="29">
        <f t="shared" si="31"/>
        <v>2128</v>
      </c>
      <c r="K80" s="29">
        <f t="shared" si="29"/>
        <v>65863</v>
      </c>
      <c r="L80" s="29">
        <v>5346.94</v>
      </c>
      <c r="M80" s="41">
        <v>5390.02</v>
      </c>
      <c r="N80" s="84"/>
      <c r="O80" s="29">
        <v>25</v>
      </c>
      <c r="P80" s="99"/>
      <c r="Q80" s="84"/>
      <c r="R80" s="82">
        <f t="shared" si="32"/>
        <v>9508.9399999999987</v>
      </c>
      <c r="S80" s="29">
        <f t="shared" si="33"/>
        <v>60491.06</v>
      </c>
    </row>
    <row r="81" spans="1:19" ht="48.6" customHeight="1" thickBot="1" x14ac:dyDescent="0.45">
      <c r="A81" s="25">
        <v>53</v>
      </c>
      <c r="B81" s="32">
        <v>44958</v>
      </c>
      <c r="C81" s="26">
        <v>45633</v>
      </c>
      <c r="D81" s="39" t="s">
        <v>23</v>
      </c>
      <c r="E81" s="90" t="s">
        <v>213</v>
      </c>
      <c r="F81" s="112" t="s">
        <v>285</v>
      </c>
      <c r="G81" s="39" t="s">
        <v>105</v>
      </c>
      <c r="H81" s="29">
        <v>95000</v>
      </c>
      <c r="I81" s="29">
        <f t="shared" si="30"/>
        <v>2726.5</v>
      </c>
      <c r="J81" s="29">
        <f t="shared" si="31"/>
        <v>2888</v>
      </c>
      <c r="K81" s="29">
        <f t="shared" si="29"/>
        <v>89385.5</v>
      </c>
      <c r="L81" s="29">
        <v>10929.24</v>
      </c>
      <c r="M81" s="41"/>
      <c r="N81" s="84"/>
      <c r="O81" s="29">
        <v>25</v>
      </c>
      <c r="P81" s="41">
        <v>0</v>
      </c>
      <c r="Q81" s="84"/>
      <c r="R81" s="82">
        <f t="shared" si="32"/>
        <v>16568.739999999998</v>
      </c>
      <c r="S81" s="29">
        <f t="shared" si="33"/>
        <v>78431.260000000009</v>
      </c>
    </row>
    <row r="82" spans="1:19" ht="48.6" customHeight="1" thickBot="1" x14ac:dyDescent="0.45">
      <c r="A82" s="25"/>
      <c r="B82" s="148" t="s">
        <v>123</v>
      </c>
      <c r="C82" s="149"/>
      <c r="D82" s="149"/>
      <c r="E82" s="149"/>
      <c r="F82" s="150"/>
      <c r="G82" s="84"/>
      <c r="H82" s="85">
        <f>H77+H78+H79+H80+H81</f>
        <v>595000</v>
      </c>
      <c r="I82" s="85">
        <f t="shared" ref="I82:K82" si="34">I77+I78+I79+I80+I81</f>
        <v>17076.5</v>
      </c>
      <c r="J82" s="85">
        <f t="shared" si="34"/>
        <v>16523.16</v>
      </c>
      <c r="K82" s="85">
        <f t="shared" si="34"/>
        <v>561400.34</v>
      </c>
      <c r="L82" s="85">
        <f>L77+L78+L79+L80+L81</f>
        <v>76161.87</v>
      </c>
      <c r="M82" s="85">
        <f t="shared" ref="M82:S82" si="35">M77+M78+M79+M80+M81</f>
        <v>32592.84</v>
      </c>
      <c r="N82" s="85">
        <f t="shared" si="35"/>
        <v>0</v>
      </c>
      <c r="O82" s="85">
        <f t="shared" si="35"/>
        <v>125</v>
      </c>
      <c r="P82" s="85">
        <f t="shared" si="35"/>
        <v>0</v>
      </c>
      <c r="Q82" s="85">
        <f t="shared" si="35"/>
        <v>0</v>
      </c>
      <c r="R82" s="85">
        <f t="shared" si="35"/>
        <v>109886.53</v>
      </c>
      <c r="S82" s="85">
        <f t="shared" si="35"/>
        <v>485113.47000000003</v>
      </c>
    </row>
    <row r="83" spans="1:19" ht="48.6" customHeight="1" thickBot="1" x14ac:dyDescent="0.45">
      <c r="A83" s="25"/>
      <c r="B83" s="157" t="s">
        <v>215</v>
      </c>
      <c r="C83" s="158"/>
      <c r="D83" s="158"/>
      <c r="E83" s="158"/>
      <c r="F83" s="35"/>
      <c r="G83" s="34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84"/>
    </row>
    <row r="84" spans="1:19" ht="36.6" customHeight="1" thickBot="1" x14ac:dyDescent="0.45">
      <c r="A84" s="25">
        <v>54</v>
      </c>
      <c r="B84" s="32">
        <v>43840</v>
      </c>
      <c r="C84" s="32">
        <v>45298</v>
      </c>
      <c r="D84" s="26" t="s">
        <v>23</v>
      </c>
      <c r="E84" s="90" t="s">
        <v>216</v>
      </c>
      <c r="F84" s="90" t="s">
        <v>217</v>
      </c>
      <c r="G84" s="39" t="s">
        <v>105</v>
      </c>
      <c r="H84" s="29">
        <v>250000</v>
      </c>
      <c r="I84" s="41">
        <f t="shared" ref="I84:I94" si="36">H84*2.87%</f>
        <v>7175</v>
      </c>
      <c r="J84" s="29">
        <f>193525*3.04%</f>
        <v>5883.16</v>
      </c>
      <c r="K84" s="41">
        <f t="shared" ref="K84:K94" si="37">H84-I84-J84</f>
        <v>236941.84</v>
      </c>
      <c r="L84" s="82">
        <v>47473.4</v>
      </c>
      <c r="M84" s="29"/>
      <c r="N84" s="29">
        <v>1715.46</v>
      </c>
      <c r="O84" s="29">
        <v>25</v>
      </c>
      <c r="P84" s="29"/>
      <c r="Q84" s="109">
        <v>0</v>
      </c>
      <c r="R84" s="82">
        <f>I84+J84+N84+O84+P84+L84-Q84</f>
        <v>62272.020000000004</v>
      </c>
      <c r="S84" s="29">
        <f>H84-R84</f>
        <v>187727.97999999998</v>
      </c>
    </row>
    <row r="85" spans="1:19" ht="36.6" customHeight="1" thickBot="1" x14ac:dyDescent="0.45">
      <c r="A85" s="25">
        <v>55</v>
      </c>
      <c r="B85" s="32" t="s">
        <v>218</v>
      </c>
      <c r="C85" s="32">
        <v>45298</v>
      </c>
      <c r="D85" s="26" t="s">
        <v>29</v>
      </c>
      <c r="E85" s="90" t="s">
        <v>219</v>
      </c>
      <c r="F85" s="90" t="s">
        <v>220</v>
      </c>
      <c r="G85" s="39" t="s">
        <v>105</v>
      </c>
      <c r="H85" s="29">
        <v>165000</v>
      </c>
      <c r="I85" s="41">
        <f t="shared" si="36"/>
        <v>4735.5</v>
      </c>
      <c r="J85" s="29">
        <f t="shared" ref="J85:J94" si="38">H85*3.04%</f>
        <v>5016</v>
      </c>
      <c r="K85" s="41">
        <f t="shared" si="37"/>
        <v>155248.5</v>
      </c>
      <c r="L85" s="82">
        <v>27394.99</v>
      </c>
      <c r="M85" s="29"/>
      <c r="N85" s="29"/>
      <c r="O85" s="29">
        <v>25</v>
      </c>
      <c r="P85" s="29"/>
      <c r="Q85" s="109"/>
      <c r="R85" s="82">
        <f t="shared" ref="R85:R94" si="39">I85+J85+L85+N85+O85+P85</f>
        <v>37171.490000000005</v>
      </c>
      <c r="S85" s="29">
        <f t="shared" ref="S85:S94" si="40">H85-R85</f>
        <v>127828.51</v>
      </c>
    </row>
    <row r="86" spans="1:19" ht="36" customHeight="1" thickBot="1" x14ac:dyDescent="0.45">
      <c r="A86" s="25">
        <v>56</v>
      </c>
      <c r="B86" s="32">
        <v>44200</v>
      </c>
      <c r="C86" s="32">
        <v>45298</v>
      </c>
      <c r="D86" s="26" t="s">
        <v>23</v>
      </c>
      <c r="E86" s="90" t="s">
        <v>221</v>
      </c>
      <c r="F86" s="112" t="s">
        <v>222</v>
      </c>
      <c r="G86" s="39" t="s">
        <v>105</v>
      </c>
      <c r="H86" s="29">
        <v>95000</v>
      </c>
      <c r="I86" s="41">
        <f t="shared" si="36"/>
        <v>2726.5</v>
      </c>
      <c r="J86" s="29">
        <f t="shared" si="38"/>
        <v>2888</v>
      </c>
      <c r="K86" s="41">
        <f t="shared" si="37"/>
        <v>89385.5</v>
      </c>
      <c r="L86" s="82">
        <v>10929.31</v>
      </c>
      <c r="M86" s="29"/>
      <c r="N86" s="29"/>
      <c r="O86" s="29">
        <v>25</v>
      </c>
      <c r="P86" s="29"/>
      <c r="Q86" s="109"/>
      <c r="R86" s="82">
        <f t="shared" si="39"/>
        <v>16568.809999999998</v>
      </c>
      <c r="S86" s="29">
        <f t="shared" si="40"/>
        <v>78431.19</v>
      </c>
    </row>
    <row r="87" spans="1:19" ht="37.15" customHeight="1" thickBot="1" x14ac:dyDescent="0.45">
      <c r="A87" s="25">
        <v>57</v>
      </c>
      <c r="B87" s="32">
        <v>44206</v>
      </c>
      <c r="C87" s="32">
        <v>45298</v>
      </c>
      <c r="D87" s="26" t="s">
        <v>29</v>
      </c>
      <c r="E87" s="90" t="s">
        <v>223</v>
      </c>
      <c r="F87" s="90" t="s">
        <v>281</v>
      </c>
      <c r="G87" s="39" t="s">
        <v>105</v>
      </c>
      <c r="H87" s="29">
        <v>75000</v>
      </c>
      <c r="I87" s="41">
        <f t="shared" si="36"/>
        <v>2152.5</v>
      </c>
      <c r="J87" s="29">
        <f t="shared" si="38"/>
        <v>2280</v>
      </c>
      <c r="K87" s="41">
        <f t="shared" si="37"/>
        <v>70567.5</v>
      </c>
      <c r="L87" s="82">
        <v>6309.38</v>
      </c>
      <c r="M87" s="29"/>
      <c r="N87" s="29"/>
      <c r="O87" s="29">
        <v>25</v>
      </c>
      <c r="P87" s="29"/>
      <c r="Q87" s="82">
        <v>0</v>
      </c>
      <c r="R87" s="82">
        <f>I87+J87+L87+N87+O87+P87-Q87</f>
        <v>10766.880000000001</v>
      </c>
      <c r="S87" s="29">
        <f>H87-R87</f>
        <v>64233.119999999995</v>
      </c>
    </row>
    <row r="88" spans="1:19" ht="62.45" customHeight="1" thickBot="1" x14ac:dyDescent="0.45">
      <c r="A88" s="25">
        <v>58</v>
      </c>
      <c r="B88" s="32" t="s">
        <v>225</v>
      </c>
      <c r="C88" s="32" t="s">
        <v>294</v>
      </c>
      <c r="D88" s="26" t="s">
        <v>23</v>
      </c>
      <c r="E88" s="90" t="s">
        <v>226</v>
      </c>
      <c r="F88" s="113" t="s">
        <v>224</v>
      </c>
      <c r="G88" s="26" t="s">
        <v>105</v>
      </c>
      <c r="H88" s="29">
        <v>80000</v>
      </c>
      <c r="I88" s="41">
        <f t="shared" si="36"/>
        <v>2296</v>
      </c>
      <c r="J88" s="29">
        <f t="shared" si="38"/>
        <v>2432</v>
      </c>
      <c r="K88" s="29">
        <f t="shared" si="37"/>
        <v>75272</v>
      </c>
      <c r="L88" s="82">
        <v>7400.87</v>
      </c>
      <c r="M88" s="29"/>
      <c r="N88" s="29"/>
      <c r="O88" s="29">
        <v>25</v>
      </c>
      <c r="P88" s="29"/>
      <c r="Q88" s="82"/>
      <c r="R88" s="82">
        <f t="shared" si="39"/>
        <v>12153.869999999999</v>
      </c>
      <c r="S88" s="29">
        <f t="shared" si="40"/>
        <v>67846.13</v>
      </c>
    </row>
    <row r="89" spans="1:19" ht="48.6" customHeight="1" thickBot="1" x14ac:dyDescent="0.45">
      <c r="A89" s="25">
        <v>59</v>
      </c>
      <c r="B89" s="32">
        <v>44958</v>
      </c>
      <c r="C89" s="32">
        <v>45297</v>
      </c>
      <c r="D89" s="26" t="s">
        <v>29</v>
      </c>
      <c r="E89" s="90" t="s">
        <v>229</v>
      </c>
      <c r="F89" s="113" t="s">
        <v>228</v>
      </c>
      <c r="G89" s="26" t="s">
        <v>105</v>
      </c>
      <c r="H89" s="29">
        <v>70000</v>
      </c>
      <c r="I89" s="41">
        <f t="shared" si="36"/>
        <v>2009</v>
      </c>
      <c r="J89" s="29">
        <f t="shared" si="38"/>
        <v>2128</v>
      </c>
      <c r="K89" s="29">
        <f t="shared" si="37"/>
        <v>65863</v>
      </c>
      <c r="L89" s="41">
        <v>5368.48</v>
      </c>
      <c r="M89" s="29">
        <v>0</v>
      </c>
      <c r="N89" s="29"/>
      <c r="O89" s="29">
        <v>25</v>
      </c>
      <c r="P89" s="29"/>
      <c r="Q89" s="82"/>
      <c r="R89" s="82">
        <f t="shared" si="39"/>
        <v>9530.48</v>
      </c>
      <c r="S89" s="29">
        <f t="shared" si="40"/>
        <v>60469.520000000004</v>
      </c>
    </row>
    <row r="90" spans="1:19" ht="61.15" customHeight="1" thickBot="1" x14ac:dyDescent="0.45">
      <c r="A90" s="25">
        <v>60</v>
      </c>
      <c r="B90" s="32">
        <v>45023</v>
      </c>
      <c r="C90" s="32">
        <v>45297</v>
      </c>
      <c r="D90" s="26" t="s">
        <v>29</v>
      </c>
      <c r="E90" s="90" t="s">
        <v>230</v>
      </c>
      <c r="F90" s="113" t="s">
        <v>231</v>
      </c>
      <c r="G90" s="26" t="s">
        <v>105</v>
      </c>
      <c r="H90" s="29">
        <v>140000</v>
      </c>
      <c r="I90" s="41">
        <f t="shared" si="36"/>
        <v>4018</v>
      </c>
      <c r="J90" s="29">
        <f t="shared" si="38"/>
        <v>4256</v>
      </c>
      <c r="K90" s="29">
        <f t="shared" si="37"/>
        <v>131726</v>
      </c>
      <c r="L90" s="82">
        <v>21514.37</v>
      </c>
      <c r="M90" s="29"/>
      <c r="N90" s="29">
        <v>0</v>
      </c>
      <c r="O90" s="29">
        <v>25</v>
      </c>
      <c r="P90" s="29"/>
      <c r="Q90" s="82"/>
      <c r="R90" s="82">
        <f t="shared" si="39"/>
        <v>29813.37</v>
      </c>
      <c r="S90" s="29">
        <f t="shared" si="40"/>
        <v>110186.63</v>
      </c>
    </row>
    <row r="91" spans="1:19" ht="61.15" customHeight="1" thickBot="1" x14ac:dyDescent="0.45">
      <c r="A91" s="25">
        <v>61</v>
      </c>
      <c r="B91" s="32" t="s">
        <v>232</v>
      </c>
      <c r="C91" s="32">
        <v>45302</v>
      </c>
      <c r="D91" s="26" t="s">
        <v>29</v>
      </c>
      <c r="E91" s="90" t="s">
        <v>233</v>
      </c>
      <c r="F91" s="113" t="s">
        <v>224</v>
      </c>
      <c r="G91" s="26" t="s">
        <v>105</v>
      </c>
      <c r="H91" s="29">
        <v>75000</v>
      </c>
      <c r="I91" s="41">
        <f t="shared" si="36"/>
        <v>2152.5</v>
      </c>
      <c r="J91" s="29">
        <f t="shared" si="38"/>
        <v>2280</v>
      </c>
      <c r="K91" s="29">
        <f t="shared" si="37"/>
        <v>70567.5</v>
      </c>
      <c r="L91" s="41">
        <v>0</v>
      </c>
      <c r="M91" s="29">
        <v>15659.16</v>
      </c>
      <c r="N91" s="29">
        <v>0</v>
      </c>
      <c r="O91" s="29">
        <v>25</v>
      </c>
      <c r="P91" s="29"/>
      <c r="Q91" s="82"/>
      <c r="R91" s="82">
        <f t="shared" si="39"/>
        <v>4457.5</v>
      </c>
      <c r="S91" s="29">
        <f t="shared" si="40"/>
        <v>70542.5</v>
      </c>
    </row>
    <row r="92" spans="1:19" ht="61.15" customHeight="1" thickBot="1" x14ac:dyDescent="0.45">
      <c r="A92" s="25">
        <v>62</v>
      </c>
      <c r="B92" s="32" t="s">
        <v>263</v>
      </c>
      <c r="C92" s="32">
        <v>45300</v>
      </c>
      <c r="D92" s="26" t="s">
        <v>29</v>
      </c>
      <c r="E92" s="90" t="s">
        <v>264</v>
      </c>
      <c r="F92" s="113" t="s">
        <v>228</v>
      </c>
      <c r="G92" s="26" t="s">
        <v>105</v>
      </c>
      <c r="H92" s="29">
        <v>60000</v>
      </c>
      <c r="I92" s="41">
        <f t="shared" si="36"/>
        <v>1722</v>
      </c>
      <c r="J92" s="29">
        <f t="shared" si="38"/>
        <v>1824</v>
      </c>
      <c r="K92" s="29">
        <f t="shared" si="37"/>
        <v>56454</v>
      </c>
      <c r="L92" s="41">
        <v>3486.68</v>
      </c>
      <c r="M92" s="29"/>
      <c r="N92" s="29">
        <v>0</v>
      </c>
      <c r="O92" s="29">
        <v>25</v>
      </c>
      <c r="P92" s="29"/>
      <c r="Q92" s="82"/>
      <c r="R92" s="82">
        <f t="shared" si="39"/>
        <v>7057.68</v>
      </c>
      <c r="S92" s="29">
        <f t="shared" si="40"/>
        <v>52942.32</v>
      </c>
    </row>
    <row r="93" spans="1:19" ht="61.15" customHeight="1" thickBot="1" x14ac:dyDescent="0.45">
      <c r="A93" s="25">
        <v>63</v>
      </c>
      <c r="B93" s="32">
        <v>45294</v>
      </c>
      <c r="C93" s="32">
        <v>45300</v>
      </c>
      <c r="D93" s="26" t="s">
        <v>29</v>
      </c>
      <c r="E93" s="90" t="s">
        <v>268</v>
      </c>
      <c r="F93" s="113" t="s">
        <v>269</v>
      </c>
      <c r="G93" s="26" t="s">
        <v>105</v>
      </c>
      <c r="H93" s="29">
        <v>82000</v>
      </c>
      <c r="I93" s="41">
        <f t="shared" si="36"/>
        <v>2353.4</v>
      </c>
      <c r="J93" s="29">
        <f t="shared" si="38"/>
        <v>2492.8000000000002</v>
      </c>
      <c r="K93" s="29">
        <f t="shared" si="37"/>
        <v>77153.8</v>
      </c>
      <c r="L93" s="41">
        <v>5813.8</v>
      </c>
      <c r="M93" s="29"/>
      <c r="N93" s="29">
        <v>0</v>
      </c>
      <c r="O93" s="29">
        <v>25</v>
      </c>
      <c r="P93" s="29"/>
      <c r="Q93" s="82"/>
      <c r="R93" s="82">
        <f t="shared" si="39"/>
        <v>10685</v>
      </c>
      <c r="S93" s="29">
        <f t="shared" si="40"/>
        <v>71315</v>
      </c>
    </row>
    <row r="94" spans="1:19" ht="61.15" customHeight="1" thickBot="1" x14ac:dyDescent="0.45">
      <c r="A94" s="25">
        <v>64</v>
      </c>
      <c r="B94" s="32">
        <v>45294</v>
      </c>
      <c r="C94" s="32">
        <v>45300</v>
      </c>
      <c r="D94" s="26" t="s">
        <v>29</v>
      </c>
      <c r="E94" s="90" t="s">
        <v>270</v>
      </c>
      <c r="F94" s="113" t="s">
        <v>284</v>
      </c>
      <c r="G94" s="26" t="s">
        <v>105</v>
      </c>
      <c r="H94" s="29">
        <v>55000</v>
      </c>
      <c r="I94" s="41">
        <f t="shared" si="36"/>
        <v>1578.5</v>
      </c>
      <c r="J94" s="29">
        <f t="shared" si="38"/>
        <v>1672</v>
      </c>
      <c r="K94" s="29">
        <f t="shared" si="37"/>
        <v>51749.5</v>
      </c>
      <c r="L94" s="41">
        <v>3899.5000000000005</v>
      </c>
      <c r="M94" s="29"/>
      <c r="N94" s="29">
        <v>0</v>
      </c>
      <c r="O94" s="29">
        <v>25</v>
      </c>
      <c r="P94" s="29"/>
      <c r="Q94" s="82"/>
      <c r="R94" s="82">
        <f t="shared" si="39"/>
        <v>7175</v>
      </c>
      <c r="S94" s="29">
        <f t="shared" si="40"/>
        <v>47825</v>
      </c>
    </row>
    <row r="95" spans="1:19" ht="48.6" customHeight="1" thickBot="1" x14ac:dyDescent="0.45">
      <c r="A95" s="111"/>
      <c r="B95" s="148" t="s">
        <v>123</v>
      </c>
      <c r="C95" s="149"/>
      <c r="D95" s="149"/>
      <c r="E95" s="149"/>
      <c r="F95" s="149"/>
      <c r="G95" s="34"/>
      <c r="H95" s="85">
        <f>H84+H85+H86+H87+H88+H89+H90+H91+H92+H93+H94</f>
        <v>1147000</v>
      </c>
      <c r="I95" s="85">
        <f t="shared" ref="I95:S95" si="41">I84+I85+I86+I87+I88+I89+I90+I91+I92+I93+I94</f>
        <v>32918.9</v>
      </c>
      <c r="J95" s="85">
        <f t="shared" si="41"/>
        <v>33151.96</v>
      </c>
      <c r="K95" s="85">
        <f t="shared" si="41"/>
        <v>1080929.1400000001</v>
      </c>
      <c r="L95" s="85">
        <f t="shared" si="41"/>
        <v>139590.77999999997</v>
      </c>
      <c r="M95" s="85">
        <f t="shared" si="41"/>
        <v>15659.16</v>
      </c>
      <c r="N95" s="85">
        <f t="shared" si="41"/>
        <v>1715.46</v>
      </c>
      <c r="O95" s="85">
        <f t="shared" si="41"/>
        <v>275</v>
      </c>
      <c r="P95" s="85">
        <f t="shared" si="41"/>
        <v>0</v>
      </c>
      <c r="Q95" s="85">
        <f t="shared" si="41"/>
        <v>0</v>
      </c>
      <c r="R95" s="85">
        <f t="shared" si="41"/>
        <v>207652.1</v>
      </c>
      <c r="S95" s="85">
        <f t="shared" si="41"/>
        <v>939347.89999999991</v>
      </c>
    </row>
    <row r="96" spans="1:19" ht="48.6" customHeight="1" thickBot="1" x14ac:dyDescent="0.45">
      <c r="A96" s="111"/>
      <c r="B96" s="157" t="s">
        <v>235</v>
      </c>
      <c r="C96" s="158"/>
      <c r="D96" s="158"/>
      <c r="E96" s="158"/>
      <c r="F96" s="35"/>
      <c r="G96" s="34"/>
      <c r="H96" s="84"/>
      <c r="I96" s="84"/>
      <c r="J96" s="84"/>
      <c r="K96" s="84"/>
      <c r="L96" s="84"/>
      <c r="M96" s="84"/>
      <c r="N96" s="84"/>
      <c r="O96" s="84"/>
      <c r="P96" s="84"/>
      <c r="Q96" s="89"/>
      <c r="R96" s="89"/>
      <c r="S96" s="84"/>
    </row>
    <row r="97" spans="1:19" ht="37.5" customHeight="1" thickBot="1" x14ac:dyDescent="0.45">
      <c r="A97" s="25">
        <v>65</v>
      </c>
      <c r="B97" s="26" t="s">
        <v>236</v>
      </c>
      <c r="C97" s="26">
        <v>45301</v>
      </c>
      <c r="D97" s="27" t="s">
        <v>29</v>
      </c>
      <c r="E97" s="28" t="s">
        <v>237</v>
      </c>
      <c r="F97" s="28" t="s">
        <v>238</v>
      </c>
      <c r="G97" s="27" t="s">
        <v>105</v>
      </c>
      <c r="H97" s="29">
        <v>115000</v>
      </c>
      <c r="I97" s="30">
        <f>+H97*2.87%</f>
        <v>3300.5</v>
      </c>
      <c r="J97" s="30">
        <f t="shared" ref="J97" si="42">H97*3.04%</f>
        <v>3496</v>
      </c>
      <c r="K97" s="30">
        <f>H97-I97-J97</f>
        <v>108203.5</v>
      </c>
      <c r="L97" s="51">
        <v>15633.74</v>
      </c>
      <c r="M97" s="51"/>
      <c r="N97" s="30"/>
      <c r="O97" s="30">
        <v>25</v>
      </c>
      <c r="P97" s="30"/>
      <c r="Q97" s="87">
        <v>0</v>
      </c>
      <c r="R97" s="87">
        <f>I97+J97+L97+N97+O97+P97-Q97</f>
        <v>22455.239999999998</v>
      </c>
      <c r="S97" s="30">
        <f>H97-R97</f>
        <v>92544.760000000009</v>
      </c>
    </row>
    <row r="98" spans="1:19" ht="37.5" customHeight="1" thickBot="1" x14ac:dyDescent="0.45">
      <c r="A98" s="25"/>
      <c r="B98" s="32"/>
      <c r="C98" s="39"/>
      <c r="D98" s="100"/>
      <c r="E98" s="50"/>
      <c r="F98" s="28"/>
      <c r="G98" s="27"/>
      <c r="H98" s="114">
        <f>H97</f>
        <v>115000</v>
      </c>
      <c r="I98" s="114">
        <f>I97</f>
        <v>3300.5</v>
      </c>
      <c r="J98" s="114">
        <f>J97</f>
        <v>3496</v>
      </c>
      <c r="K98" s="114">
        <f t="shared" ref="K98:R98" si="43">K97</f>
        <v>108203.5</v>
      </c>
      <c r="L98" s="114">
        <f>L97</f>
        <v>15633.74</v>
      </c>
      <c r="M98" s="114"/>
      <c r="N98" s="114">
        <f t="shared" si="43"/>
        <v>0</v>
      </c>
      <c r="O98" s="114">
        <f t="shared" si="43"/>
        <v>25</v>
      </c>
      <c r="P98" s="114">
        <f t="shared" si="43"/>
        <v>0</v>
      </c>
      <c r="Q98" s="114">
        <f t="shared" si="43"/>
        <v>0</v>
      </c>
      <c r="R98" s="115">
        <f t="shared" si="43"/>
        <v>22455.239999999998</v>
      </c>
      <c r="S98" s="114">
        <f>S97</f>
        <v>92544.760000000009</v>
      </c>
    </row>
    <row r="99" spans="1:19" ht="48.6" customHeight="1" thickBot="1" x14ac:dyDescent="0.45">
      <c r="A99" s="25"/>
      <c r="B99" s="157" t="s">
        <v>239</v>
      </c>
      <c r="C99" s="158"/>
      <c r="D99" s="158"/>
      <c r="E99" s="159"/>
      <c r="F99" s="28"/>
      <c r="G99" s="116"/>
      <c r="H99" s="117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9"/>
    </row>
    <row r="100" spans="1:19" ht="37.15" customHeight="1" thickBot="1" x14ac:dyDescent="0.45">
      <c r="A100" s="25">
        <v>66</v>
      </c>
      <c r="B100" s="26">
        <v>44113</v>
      </c>
      <c r="C100" s="26">
        <v>45301</v>
      </c>
      <c r="D100" s="27" t="s">
        <v>23</v>
      </c>
      <c r="E100" s="28" t="s">
        <v>240</v>
      </c>
      <c r="F100" s="28" t="s">
        <v>241</v>
      </c>
      <c r="G100" s="27" t="s">
        <v>105</v>
      </c>
      <c r="H100" s="48">
        <v>250000</v>
      </c>
      <c r="I100" s="49">
        <f t="shared" ref="I100:I108" si="44">+H100*2.87%</f>
        <v>7175</v>
      </c>
      <c r="J100" s="49">
        <f>193525*3.04%</f>
        <v>5883.16</v>
      </c>
      <c r="K100" s="49">
        <f t="shared" ref="K100:K108" si="45">H100-I100-J100</f>
        <v>236941.84</v>
      </c>
      <c r="L100" s="120">
        <v>47389.46</v>
      </c>
      <c r="M100" s="120"/>
      <c r="N100" s="49">
        <v>1715.46</v>
      </c>
      <c r="O100" s="49">
        <v>25</v>
      </c>
      <c r="P100" s="49">
        <v>0</v>
      </c>
      <c r="Q100" s="121"/>
      <c r="R100" s="121">
        <f>I100+J100+L100+P100+O100+N100</f>
        <v>62188.079999999994</v>
      </c>
      <c r="S100" s="49">
        <f>H100-R100</f>
        <v>187811.92</v>
      </c>
    </row>
    <row r="101" spans="1:19" ht="61.9" customHeight="1" thickBot="1" x14ac:dyDescent="0.45">
      <c r="A101" s="25">
        <v>67</v>
      </c>
      <c r="B101" s="26">
        <v>44621</v>
      </c>
      <c r="C101" s="26">
        <v>45297</v>
      </c>
      <c r="D101" s="27" t="s">
        <v>29</v>
      </c>
      <c r="E101" s="50" t="s">
        <v>242</v>
      </c>
      <c r="F101" s="122" t="s">
        <v>247</v>
      </c>
      <c r="G101" s="123" t="s">
        <v>105</v>
      </c>
      <c r="H101" s="29">
        <v>85000</v>
      </c>
      <c r="I101" s="29">
        <f t="shared" si="44"/>
        <v>2439.5</v>
      </c>
      <c r="J101" s="29">
        <f t="shared" ref="J101:J108" si="46">H101*3.04%</f>
        <v>2584</v>
      </c>
      <c r="K101" s="29">
        <f t="shared" si="45"/>
        <v>79976.5</v>
      </c>
      <c r="L101" s="51">
        <v>8576.99</v>
      </c>
      <c r="M101" s="51"/>
      <c r="N101" s="51"/>
      <c r="O101" s="51">
        <v>25</v>
      </c>
      <c r="P101" s="51">
        <v>0</v>
      </c>
      <c r="Q101" s="124"/>
      <c r="R101" s="121">
        <f t="shared" ref="R101:R108" si="47">I101+J101+L101+P101+O101+N101</f>
        <v>13625.49</v>
      </c>
      <c r="S101" s="49">
        <f t="shared" ref="S101:S108" si="48">H101-R101</f>
        <v>71374.509999999995</v>
      </c>
    </row>
    <row r="102" spans="1:19" ht="69" customHeight="1" thickBot="1" x14ac:dyDescent="0.45">
      <c r="A102" s="25">
        <v>68</v>
      </c>
      <c r="B102" s="26">
        <v>44958</v>
      </c>
      <c r="C102" s="26">
        <v>45298</v>
      </c>
      <c r="D102" s="27" t="s">
        <v>29</v>
      </c>
      <c r="E102" s="50" t="s">
        <v>244</v>
      </c>
      <c r="F102" s="122" t="s">
        <v>283</v>
      </c>
      <c r="G102" s="123" t="s">
        <v>105</v>
      </c>
      <c r="H102" s="29">
        <v>150000</v>
      </c>
      <c r="I102" s="29">
        <f t="shared" si="44"/>
        <v>4305</v>
      </c>
      <c r="J102" s="29">
        <f t="shared" si="46"/>
        <v>4560</v>
      </c>
      <c r="K102" s="29">
        <f t="shared" si="45"/>
        <v>141135</v>
      </c>
      <c r="L102" s="51">
        <v>23866.62</v>
      </c>
      <c r="M102" s="51"/>
      <c r="N102" s="51"/>
      <c r="O102" s="51">
        <v>25</v>
      </c>
      <c r="P102" s="51">
        <v>0</v>
      </c>
      <c r="Q102" s="124"/>
      <c r="R102" s="121">
        <f t="shared" si="47"/>
        <v>32756.62</v>
      </c>
      <c r="S102" s="49">
        <f t="shared" si="48"/>
        <v>117243.38</v>
      </c>
    </row>
    <row r="103" spans="1:19" ht="69" customHeight="1" thickBot="1" x14ac:dyDescent="0.45">
      <c r="A103" s="25">
        <v>69</v>
      </c>
      <c r="B103" s="26">
        <v>45294</v>
      </c>
      <c r="C103" s="26">
        <v>45300</v>
      </c>
      <c r="D103" s="27" t="s">
        <v>23</v>
      </c>
      <c r="E103" s="50" t="s">
        <v>272</v>
      </c>
      <c r="F103" s="122" t="s">
        <v>273</v>
      </c>
      <c r="G103" s="123" t="s">
        <v>105</v>
      </c>
      <c r="H103" s="29">
        <v>130000</v>
      </c>
      <c r="I103" s="29">
        <f t="shared" si="44"/>
        <v>3731</v>
      </c>
      <c r="J103" s="29">
        <f t="shared" si="46"/>
        <v>3952</v>
      </c>
      <c r="K103" s="29">
        <f t="shared" si="45"/>
        <v>122317</v>
      </c>
      <c r="L103" s="51">
        <v>19162.12</v>
      </c>
      <c r="M103" s="51"/>
      <c r="N103" s="51"/>
      <c r="O103" s="51">
        <v>25</v>
      </c>
      <c r="P103" s="51">
        <v>0</v>
      </c>
      <c r="Q103" s="124"/>
      <c r="R103" s="121">
        <f t="shared" si="47"/>
        <v>26870.12</v>
      </c>
      <c r="S103" s="49">
        <f t="shared" si="48"/>
        <v>103129.88</v>
      </c>
    </row>
    <row r="104" spans="1:19" ht="63.6" customHeight="1" thickBot="1" x14ac:dyDescent="0.45">
      <c r="A104" s="25">
        <v>70</v>
      </c>
      <c r="B104" s="26">
        <v>44958</v>
      </c>
      <c r="C104" s="26">
        <v>45293</v>
      </c>
      <c r="D104" s="27" t="s">
        <v>23</v>
      </c>
      <c r="E104" s="50" t="s">
        <v>246</v>
      </c>
      <c r="F104" s="122" t="s">
        <v>247</v>
      </c>
      <c r="G104" s="123" t="s">
        <v>105</v>
      </c>
      <c r="H104" s="29">
        <v>85000</v>
      </c>
      <c r="I104" s="29">
        <f t="shared" si="44"/>
        <v>2439.5</v>
      </c>
      <c r="J104" s="29">
        <f t="shared" si="46"/>
        <v>2584</v>
      </c>
      <c r="K104" s="29">
        <f t="shared" si="45"/>
        <v>79976.5</v>
      </c>
      <c r="L104" s="51">
        <v>8576.99</v>
      </c>
      <c r="M104" s="51">
        <v>0</v>
      </c>
      <c r="N104" s="51"/>
      <c r="O104" s="51">
        <v>25</v>
      </c>
      <c r="P104" s="51">
        <v>0</v>
      </c>
      <c r="Q104" s="124"/>
      <c r="R104" s="121">
        <f t="shared" si="47"/>
        <v>13625.49</v>
      </c>
      <c r="S104" s="49">
        <f t="shared" si="48"/>
        <v>71374.509999999995</v>
      </c>
    </row>
    <row r="105" spans="1:19" ht="63.6" customHeight="1" thickBot="1" x14ac:dyDescent="0.45">
      <c r="A105" s="25">
        <v>71</v>
      </c>
      <c r="B105" s="26">
        <v>44929</v>
      </c>
      <c r="C105" s="26">
        <v>45294</v>
      </c>
      <c r="D105" s="27" t="s">
        <v>29</v>
      </c>
      <c r="E105" s="50" t="s">
        <v>248</v>
      </c>
      <c r="F105" s="122" t="s">
        <v>247</v>
      </c>
      <c r="G105" s="123" t="s">
        <v>105</v>
      </c>
      <c r="H105" s="29">
        <v>85000</v>
      </c>
      <c r="I105" s="29">
        <f t="shared" si="44"/>
        <v>2439.5</v>
      </c>
      <c r="J105" s="29">
        <f t="shared" si="46"/>
        <v>2584</v>
      </c>
      <c r="K105" s="29">
        <f t="shared" si="45"/>
        <v>79976.5</v>
      </c>
      <c r="L105" s="51">
        <v>0</v>
      </c>
      <c r="M105" s="51">
        <v>22834.16</v>
      </c>
      <c r="N105" s="51"/>
      <c r="O105" s="51">
        <v>25</v>
      </c>
      <c r="P105" s="51">
        <v>0</v>
      </c>
      <c r="Q105" s="124"/>
      <c r="R105" s="121">
        <f t="shared" si="47"/>
        <v>5048.5</v>
      </c>
      <c r="S105" s="49">
        <f t="shared" si="48"/>
        <v>79951.5</v>
      </c>
    </row>
    <row r="106" spans="1:19" ht="63.6" customHeight="1" thickBot="1" x14ac:dyDescent="0.45">
      <c r="A106" s="25">
        <v>72</v>
      </c>
      <c r="B106" s="26">
        <v>44932</v>
      </c>
      <c r="C106" s="26">
        <v>45297</v>
      </c>
      <c r="D106" s="27" t="s">
        <v>29</v>
      </c>
      <c r="E106" s="50" t="s">
        <v>249</v>
      </c>
      <c r="F106" s="122" t="s">
        <v>250</v>
      </c>
      <c r="G106" s="123" t="s">
        <v>105</v>
      </c>
      <c r="H106" s="29">
        <v>75000</v>
      </c>
      <c r="I106" s="29">
        <f t="shared" si="44"/>
        <v>2152.5</v>
      </c>
      <c r="J106" s="29">
        <f t="shared" si="46"/>
        <v>2280</v>
      </c>
      <c r="K106" s="29">
        <f t="shared" si="45"/>
        <v>70567.5</v>
      </c>
      <c r="L106" s="51">
        <v>0</v>
      </c>
      <c r="M106" s="51">
        <v>35682.79</v>
      </c>
      <c r="N106" s="51"/>
      <c r="O106" s="51">
        <v>25</v>
      </c>
      <c r="P106" s="51">
        <v>0</v>
      </c>
      <c r="Q106" s="124"/>
      <c r="R106" s="121">
        <f t="shared" si="47"/>
        <v>4457.5</v>
      </c>
      <c r="S106" s="49">
        <f t="shared" si="48"/>
        <v>70542.5</v>
      </c>
    </row>
    <row r="107" spans="1:19" ht="63.6" customHeight="1" thickBot="1" x14ac:dyDescent="0.45">
      <c r="A107" s="25">
        <v>73</v>
      </c>
      <c r="B107" s="26">
        <v>44932</v>
      </c>
      <c r="C107" s="26">
        <v>45297</v>
      </c>
      <c r="D107" s="27" t="s">
        <v>29</v>
      </c>
      <c r="E107" s="50" t="s">
        <v>251</v>
      </c>
      <c r="F107" s="122" t="s">
        <v>176</v>
      </c>
      <c r="G107" s="123" t="s">
        <v>105</v>
      </c>
      <c r="H107" s="29">
        <v>60000</v>
      </c>
      <c r="I107" s="29">
        <f t="shared" si="44"/>
        <v>1722</v>
      </c>
      <c r="J107" s="29">
        <f t="shared" si="46"/>
        <v>1824</v>
      </c>
      <c r="K107" s="29">
        <f t="shared" si="45"/>
        <v>56454</v>
      </c>
      <c r="L107" s="51">
        <v>0</v>
      </c>
      <c r="M107" s="51">
        <v>32982.43</v>
      </c>
      <c r="N107" s="51"/>
      <c r="O107" s="51">
        <v>25</v>
      </c>
      <c r="P107" s="51">
        <v>0</v>
      </c>
      <c r="Q107" s="124"/>
      <c r="R107" s="121">
        <f t="shared" si="47"/>
        <v>3571</v>
      </c>
      <c r="S107" s="49">
        <f t="shared" si="48"/>
        <v>56429</v>
      </c>
    </row>
    <row r="108" spans="1:19" ht="63.6" customHeight="1" thickBot="1" x14ac:dyDescent="0.45">
      <c r="A108" s="25">
        <v>74</v>
      </c>
      <c r="B108" s="26">
        <v>44937</v>
      </c>
      <c r="C108" s="26">
        <v>45302</v>
      </c>
      <c r="D108" s="27" t="s">
        <v>29</v>
      </c>
      <c r="E108" s="50" t="s">
        <v>253</v>
      </c>
      <c r="F108" s="122" t="s">
        <v>282</v>
      </c>
      <c r="G108" s="123" t="s">
        <v>105</v>
      </c>
      <c r="H108" s="29">
        <v>82000</v>
      </c>
      <c r="I108" s="29">
        <f t="shared" si="44"/>
        <v>2353.4</v>
      </c>
      <c r="J108" s="29">
        <f t="shared" si="46"/>
        <v>2492.8000000000002</v>
      </c>
      <c r="K108" s="29">
        <f t="shared" si="45"/>
        <v>77153.8</v>
      </c>
      <c r="L108" s="51">
        <v>7871.32</v>
      </c>
      <c r="M108" s="51"/>
      <c r="N108" s="51"/>
      <c r="O108" s="51">
        <v>25</v>
      </c>
      <c r="P108" s="51">
        <v>0</v>
      </c>
      <c r="Q108" s="124"/>
      <c r="R108" s="121">
        <f t="shared" si="47"/>
        <v>12742.52</v>
      </c>
      <c r="S108" s="49">
        <f t="shared" si="48"/>
        <v>69257.48</v>
      </c>
    </row>
    <row r="109" spans="1:19" ht="48.6" customHeight="1" thickBot="1" x14ac:dyDescent="0.45">
      <c r="A109" s="25"/>
      <c r="B109" s="148" t="s">
        <v>123</v>
      </c>
      <c r="C109" s="149"/>
      <c r="D109" s="149"/>
      <c r="E109" s="149"/>
      <c r="F109" s="150"/>
      <c r="G109" s="28"/>
      <c r="H109" s="85">
        <f>SUM(H100:H108)</f>
        <v>1002000</v>
      </c>
      <c r="I109" s="85">
        <f t="shared" ref="I109:R109" si="49">SUM(I100:I108)</f>
        <v>28757.4</v>
      </c>
      <c r="J109" s="85">
        <f t="shared" si="49"/>
        <v>28743.96</v>
      </c>
      <c r="K109" s="85">
        <f t="shared" si="49"/>
        <v>944498.64</v>
      </c>
      <c r="L109" s="85">
        <f>SUM(L100:L108)</f>
        <v>115443.5</v>
      </c>
      <c r="M109" s="85">
        <f t="shared" si="49"/>
        <v>91499.38</v>
      </c>
      <c r="N109" s="85">
        <f t="shared" si="49"/>
        <v>1715.46</v>
      </c>
      <c r="O109" s="85">
        <f t="shared" si="49"/>
        <v>225</v>
      </c>
      <c r="P109" s="85">
        <f t="shared" si="49"/>
        <v>0</v>
      </c>
      <c r="Q109" s="85">
        <f t="shared" si="49"/>
        <v>0</v>
      </c>
      <c r="R109" s="85">
        <f t="shared" si="49"/>
        <v>174885.31999999998</v>
      </c>
      <c r="S109" s="85">
        <f>SUM(S100:S108)</f>
        <v>827114.67999999993</v>
      </c>
    </row>
    <row r="110" spans="1:19" ht="37.5" customHeight="1" thickBot="1" x14ac:dyDescent="0.45">
      <c r="A110" s="160"/>
      <c r="B110" s="162"/>
      <c r="C110" s="163"/>
      <c r="D110" s="163"/>
      <c r="E110" s="163"/>
      <c r="F110" s="164"/>
      <c r="G110" s="28"/>
      <c r="H110" s="29"/>
      <c r="I110" s="51"/>
      <c r="J110" s="51"/>
      <c r="K110" s="51"/>
      <c r="L110" s="51"/>
      <c r="M110" s="51"/>
      <c r="N110" s="51"/>
      <c r="O110" s="51"/>
      <c r="P110" s="51"/>
      <c r="Q110" s="124"/>
      <c r="R110" s="124"/>
      <c r="S110" s="51"/>
    </row>
    <row r="111" spans="1:19" ht="37.5" customHeight="1" thickBot="1" x14ac:dyDescent="0.45">
      <c r="A111" s="161"/>
      <c r="B111" s="165"/>
      <c r="C111" s="166"/>
      <c r="D111" s="166"/>
      <c r="E111" s="166"/>
      <c r="F111" s="167"/>
      <c r="G111" s="28"/>
      <c r="H111" s="29"/>
      <c r="I111" s="51"/>
      <c r="J111" s="51"/>
      <c r="K111" s="51"/>
      <c r="L111" s="51"/>
      <c r="M111" s="51"/>
      <c r="N111" s="51"/>
      <c r="O111" s="51"/>
      <c r="P111" s="51"/>
      <c r="Q111" s="124"/>
      <c r="R111" s="124"/>
      <c r="S111" s="51"/>
    </row>
    <row r="112" spans="1:19" ht="48.6" customHeight="1" thickBot="1" x14ac:dyDescent="0.45">
      <c r="A112" s="25"/>
      <c r="B112" s="148" t="s">
        <v>84</v>
      </c>
      <c r="C112" s="149"/>
      <c r="D112" s="149"/>
      <c r="E112" s="149"/>
      <c r="F112" s="150"/>
      <c r="G112" s="28"/>
      <c r="H112" s="85">
        <f t="shared" ref="H112:S112" si="50">H17+H32+H41+H57+H62+H69+H75+H82+H95+H98+H109+H22+H65</f>
        <v>7771500</v>
      </c>
      <c r="I112" s="85">
        <f t="shared" si="50"/>
        <v>223042.05</v>
      </c>
      <c r="J112" s="85">
        <f t="shared" si="50"/>
        <v>225254.87999999998</v>
      </c>
      <c r="K112" s="85">
        <f t="shared" si="50"/>
        <v>7323203.0700000003</v>
      </c>
      <c r="L112" s="85">
        <f t="shared" si="50"/>
        <v>932574.22</v>
      </c>
      <c r="M112" s="85">
        <f t="shared" si="50"/>
        <v>233267.91</v>
      </c>
      <c r="N112" s="85">
        <f t="shared" si="50"/>
        <v>12008.2</v>
      </c>
      <c r="O112" s="85">
        <f t="shared" si="50"/>
        <v>1825</v>
      </c>
      <c r="P112" s="85">
        <f t="shared" si="50"/>
        <v>29816.61</v>
      </c>
      <c r="Q112" s="85">
        <f t="shared" si="50"/>
        <v>0</v>
      </c>
      <c r="R112" s="85">
        <f t="shared" si="50"/>
        <v>1424520.9600000002</v>
      </c>
      <c r="S112" s="85">
        <f t="shared" si="50"/>
        <v>6346979.0399999991</v>
      </c>
    </row>
    <row r="113" spans="4:19" ht="37.5" customHeight="1" x14ac:dyDescent="0.35">
      <c r="D113" s="3"/>
      <c r="E113" s="5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58"/>
      <c r="Q113" s="58"/>
      <c r="R113" s="3"/>
      <c r="S113" s="57"/>
    </row>
    <row r="114" spans="4:19" ht="37.5" customHeight="1" x14ac:dyDescent="0.4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58"/>
      <c r="Q114" s="58"/>
      <c r="R114" s="3"/>
      <c r="S114" s="125"/>
    </row>
    <row r="115" spans="4:19" ht="37.5" customHeight="1" x14ac:dyDescent="0.35">
      <c r="D115" s="3"/>
      <c r="E115" s="11"/>
      <c r="F115" s="3"/>
      <c r="G115" s="11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26"/>
    </row>
    <row r="116" spans="4:19" ht="37.5" customHeight="1" x14ac:dyDescent="0.45">
      <c r="D116" s="3"/>
      <c r="F116" s="4" t="s">
        <v>85</v>
      </c>
      <c r="G116" s="3"/>
      <c r="H116" s="9"/>
      <c r="I116" s="140" t="s">
        <v>255</v>
      </c>
      <c r="J116" s="140"/>
      <c r="K116" s="140"/>
      <c r="L116" s="59"/>
      <c r="M116" s="59"/>
      <c r="N116" s="59"/>
      <c r="O116" s="59"/>
      <c r="P116" s="60"/>
      <c r="Q116" s="60"/>
      <c r="R116" s="3"/>
      <c r="S116" s="127"/>
    </row>
    <row r="117" spans="4:19" ht="37.5" customHeight="1" x14ac:dyDescent="0.4">
      <c r="D117" s="3"/>
      <c r="F117" s="4" t="s">
        <v>87</v>
      </c>
      <c r="G117" s="3"/>
      <c r="H117" s="3"/>
      <c r="I117" s="3"/>
      <c r="J117" s="4" t="s">
        <v>88</v>
      </c>
      <c r="K117" s="3"/>
      <c r="L117" s="3"/>
      <c r="M117" s="3"/>
      <c r="N117" s="3"/>
      <c r="O117" s="3"/>
      <c r="P117" s="60"/>
      <c r="Q117" s="60"/>
      <c r="R117" s="3"/>
      <c r="S117" s="128"/>
    </row>
    <row r="118" spans="4:19" ht="37.5" customHeight="1" x14ac:dyDescent="0.3">
      <c r="E118" s="63"/>
      <c r="F118" s="63"/>
      <c r="G118" s="129"/>
      <c r="H118" s="63"/>
      <c r="I118" s="64"/>
      <c r="J118" s="64"/>
      <c r="K118" s="64"/>
      <c r="L118" s="75"/>
      <c r="M118" s="75"/>
      <c r="N118" s="65"/>
      <c r="O118" s="66"/>
      <c r="P118" s="3"/>
      <c r="Q118" s="3"/>
      <c r="R118" s="3"/>
      <c r="S118" s="3"/>
    </row>
    <row r="119" spans="4:19" ht="37.5" customHeight="1" x14ac:dyDescent="0.4">
      <c r="D119" s="67"/>
      <c r="E119" s="68"/>
      <c r="F119" s="68"/>
      <c r="G119" s="130"/>
      <c r="H119" s="69"/>
    </row>
  </sheetData>
  <autoFilter ref="A10:S109" xr:uid="{5C7F64D7-568E-4F7F-82D6-22C834F135E8}"/>
  <mergeCells count="30">
    <mergeCell ref="A110:A111"/>
    <mergeCell ref="B110:F111"/>
    <mergeCell ref="B112:F112"/>
    <mergeCell ref="I116:K116"/>
    <mergeCell ref="B75:F75"/>
    <mergeCell ref="B76:E76"/>
    <mergeCell ref="B82:F82"/>
    <mergeCell ref="B83:E83"/>
    <mergeCell ref="B95:F95"/>
    <mergeCell ref="B96:E96"/>
    <mergeCell ref="B99:E99"/>
    <mergeCell ref="B109:F109"/>
    <mergeCell ref="B70:E70"/>
    <mergeCell ref="B32:F32"/>
    <mergeCell ref="B33:E33"/>
    <mergeCell ref="B41:F41"/>
    <mergeCell ref="B42:E42"/>
    <mergeCell ref="B57:F57"/>
    <mergeCell ref="B58:E58"/>
    <mergeCell ref="B62:F62"/>
    <mergeCell ref="B63:E63"/>
    <mergeCell ref="B65:F65"/>
    <mergeCell ref="B66:E66"/>
    <mergeCell ref="B69:F69"/>
    <mergeCell ref="B23:E23"/>
    <mergeCell ref="I9:J9"/>
    <mergeCell ref="K9:P9"/>
    <mergeCell ref="B17:F17"/>
    <mergeCell ref="B18:E18"/>
    <mergeCell ref="B22:F22"/>
  </mergeCells>
  <pageMargins left="0.25" right="0.25" top="0.75" bottom="0.75" header="0.3" footer="0.3"/>
  <pageSetup paperSize="5" scale="1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5E235-FB56-4304-BE3F-64E388210137}">
  <dimension ref="A1:S116"/>
  <sheetViews>
    <sheetView showGridLines="0" topLeftCell="A71" zoomScale="26" zoomScaleNormal="26" zoomScaleSheetLayoutView="49" workbookViewId="0">
      <pane xSplit="6" topLeftCell="G1" activePane="topRight" state="frozen"/>
      <selection pane="topRight" activeCell="D104" sqref="D104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111.28515625" style="1" bestFit="1" customWidth="1"/>
    <col min="11" max="11" width="49.85546875" style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5">
      <c r="D3" s="2"/>
      <c r="E3" s="2"/>
      <c r="F3" s="2"/>
      <c r="G3" s="2"/>
      <c r="H3" s="3"/>
      <c r="I3" s="4"/>
      <c r="J3" s="3"/>
      <c r="K3" s="2"/>
      <c r="L3" s="2"/>
      <c r="M3" s="2"/>
      <c r="N3" s="2"/>
      <c r="O3" s="2"/>
      <c r="P3" s="2"/>
      <c r="Q3" s="2"/>
      <c r="R3" s="2"/>
      <c r="S3" s="3"/>
    </row>
    <row r="4" spans="1:19" ht="34.9" customHeight="1" x14ac:dyDescent="0.4">
      <c r="D4" s="2"/>
      <c r="E4" s="2"/>
      <c r="F4" s="4" t="s">
        <v>89</v>
      </c>
      <c r="G4" s="2"/>
      <c r="H4" s="3"/>
      <c r="I4" s="4"/>
      <c r="J4" s="3"/>
      <c r="K4" s="2"/>
      <c r="L4" s="2"/>
      <c r="M4" s="2"/>
      <c r="N4" s="2"/>
      <c r="O4" s="2"/>
      <c r="P4" s="2"/>
      <c r="Q4" s="2"/>
      <c r="R4" s="2"/>
      <c r="S4" s="3"/>
    </row>
    <row r="5" spans="1:19" ht="37.5" customHeight="1" x14ac:dyDescent="0.45">
      <c r="D5" s="5"/>
      <c r="E5" s="5"/>
      <c r="F5" s="76" t="s">
        <v>90</v>
      </c>
      <c r="G5" s="5"/>
      <c r="H5" s="3"/>
      <c r="I5" s="7"/>
      <c r="J5" s="3"/>
      <c r="K5" s="5"/>
      <c r="L5" s="5"/>
      <c r="M5" s="5"/>
      <c r="N5" s="5"/>
      <c r="O5" s="5"/>
      <c r="P5" s="5"/>
      <c r="Q5" s="5"/>
      <c r="R5" s="5"/>
      <c r="S5" s="3"/>
    </row>
    <row r="6" spans="1:19" ht="37.5" customHeight="1" x14ac:dyDescent="0.45">
      <c r="D6" s="6"/>
      <c r="E6" s="6"/>
      <c r="F6" s="7" t="s">
        <v>257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3"/>
    </row>
    <row r="7" spans="1:19" ht="37.5" customHeight="1" x14ac:dyDescent="0.45">
      <c r="D7" s="7"/>
      <c r="E7" s="7"/>
      <c r="F7" s="7"/>
      <c r="G7" s="7"/>
      <c r="I7" s="7"/>
      <c r="L7" s="7"/>
      <c r="M7" s="7"/>
      <c r="N7" s="7"/>
      <c r="O7" s="8"/>
      <c r="P7" s="8"/>
      <c r="Q7" s="8"/>
      <c r="R7" s="7"/>
      <c r="S7" s="3"/>
    </row>
    <row r="8" spans="1:19" ht="37.5" customHeight="1" thickBot="1" x14ac:dyDescent="0.5">
      <c r="D8" s="3"/>
      <c r="E8" s="3"/>
      <c r="F8" s="3"/>
      <c r="G8" s="3"/>
      <c r="H8" s="77"/>
      <c r="I8" s="3"/>
      <c r="J8" s="3"/>
      <c r="K8" s="3"/>
      <c r="L8" s="9"/>
      <c r="M8" s="9"/>
      <c r="N8" s="9"/>
      <c r="O8" s="10"/>
      <c r="P8" s="8"/>
      <c r="Q8" s="8"/>
      <c r="R8" s="3"/>
      <c r="S8" s="3"/>
    </row>
    <row r="9" spans="1:19" ht="37.5" customHeight="1" thickBot="1" x14ac:dyDescent="0.45">
      <c r="D9" s="11"/>
      <c r="E9" s="12"/>
      <c r="F9" s="12"/>
      <c r="G9" s="12"/>
      <c r="H9" s="13" t="s">
        <v>2</v>
      </c>
      <c r="I9" s="141" t="s">
        <v>91</v>
      </c>
      <c r="J9" s="142"/>
      <c r="K9" s="143" t="s">
        <v>4</v>
      </c>
      <c r="L9" s="143"/>
      <c r="M9" s="143"/>
      <c r="N9" s="143"/>
      <c r="O9" s="143"/>
      <c r="P9" s="142"/>
      <c r="Q9" s="78"/>
      <c r="S9" s="14"/>
    </row>
    <row r="10" spans="1:19" ht="126.6" customHeight="1" thickBot="1" x14ac:dyDescent="0.3">
      <c r="A10" s="15" t="s">
        <v>5</v>
      </c>
      <c r="B10" s="15" t="s">
        <v>6</v>
      </c>
      <c r="C10" s="15" t="s">
        <v>92</v>
      </c>
      <c r="D10" s="15" t="s">
        <v>7</v>
      </c>
      <c r="E10" s="15" t="s">
        <v>8</v>
      </c>
      <c r="F10" s="16" t="s">
        <v>93</v>
      </c>
      <c r="G10" s="16" t="s">
        <v>10</v>
      </c>
      <c r="H10" s="16" t="s">
        <v>11</v>
      </c>
      <c r="I10" s="17" t="s">
        <v>94</v>
      </c>
      <c r="J10" s="16" t="s">
        <v>95</v>
      </c>
      <c r="K10" s="16" t="s">
        <v>14</v>
      </c>
      <c r="L10" s="16" t="s">
        <v>96</v>
      </c>
      <c r="M10" s="18" t="s">
        <v>16</v>
      </c>
      <c r="N10" s="15" t="s">
        <v>97</v>
      </c>
      <c r="O10" s="17" t="s">
        <v>98</v>
      </c>
      <c r="P10" s="19" t="s">
        <v>99</v>
      </c>
      <c r="Q10" s="19" t="s">
        <v>100</v>
      </c>
      <c r="R10" s="16" t="s">
        <v>19</v>
      </c>
      <c r="S10" s="17" t="s">
        <v>20</v>
      </c>
    </row>
    <row r="11" spans="1:19" ht="48.6" customHeight="1" thickBot="1" x14ac:dyDescent="0.45">
      <c r="A11" s="25"/>
      <c r="B11" s="79" t="s">
        <v>101</v>
      </c>
      <c r="C11" s="80"/>
      <c r="D11" s="80"/>
      <c r="E11" s="80"/>
      <c r="F11" s="81"/>
      <c r="G11" s="28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37.15" customHeight="1" thickBot="1" x14ac:dyDescent="0.45">
      <c r="A12" s="25">
        <v>1</v>
      </c>
      <c r="B12" s="26" t="s">
        <v>102</v>
      </c>
      <c r="C12" s="26">
        <v>45293</v>
      </c>
      <c r="D12" s="27" t="s">
        <v>29</v>
      </c>
      <c r="E12" s="28" t="s">
        <v>103</v>
      </c>
      <c r="F12" s="28" t="s">
        <v>104</v>
      </c>
      <c r="G12" s="27" t="s">
        <v>105</v>
      </c>
      <c r="H12" s="29">
        <v>225000</v>
      </c>
      <c r="I12" s="30">
        <f t="shared" ref="I12:I16" si="0">+H12*2.87%</f>
        <v>6457.5</v>
      </c>
      <c r="J12" s="30">
        <f>187020*3.04%</f>
        <v>5685.4080000000004</v>
      </c>
      <c r="K12" s="30">
        <f>H12-I12-J12</f>
        <v>212857.092</v>
      </c>
      <c r="L12" s="51">
        <v>41797.19</v>
      </c>
      <c r="M12" s="51"/>
      <c r="N12" s="30"/>
      <c r="O12" s="30">
        <v>25</v>
      </c>
      <c r="P12" s="30"/>
      <c r="Q12" s="30"/>
      <c r="R12" s="30">
        <f>I12+J12+L12+N12+O12+P12</f>
        <v>53965.097999999998</v>
      </c>
      <c r="S12" s="51">
        <f>H12-R12</f>
        <v>171034.902</v>
      </c>
    </row>
    <row r="13" spans="1:19" ht="62.45" customHeight="1" thickBot="1" x14ac:dyDescent="0.45">
      <c r="A13" s="25">
        <v>2</v>
      </c>
      <c r="B13" s="26">
        <v>44199</v>
      </c>
      <c r="C13" s="26">
        <v>45293</v>
      </c>
      <c r="D13" s="27" t="s">
        <v>29</v>
      </c>
      <c r="E13" s="28" t="s">
        <v>106</v>
      </c>
      <c r="F13" s="31" t="s">
        <v>107</v>
      </c>
      <c r="G13" s="27" t="s">
        <v>105</v>
      </c>
      <c r="H13" s="29">
        <v>77000</v>
      </c>
      <c r="I13" s="30">
        <f t="shared" si="0"/>
        <v>2209.9</v>
      </c>
      <c r="J13" s="30">
        <f>H13*3.04%</f>
        <v>2340.8000000000002</v>
      </c>
      <c r="K13" s="30">
        <f>H13-I13-J13</f>
        <v>72449.3</v>
      </c>
      <c r="L13" s="51">
        <f>6695.19-M13</f>
        <v>6695.19</v>
      </c>
      <c r="M13" s="51">
        <v>0</v>
      </c>
      <c r="N13" s="30"/>
      <c r="O13" s="30">
        <f>25+7000</f>
        <v>7025</v>
      </c>
      <c r="P13" s="30"/>
      <c r="Q13" s="30"/>
      <c r="R13" s="30">
        <f>I13+J13+L13+N13+O13+P13</f>
        <v>18270.89</v>
      </c>
      <c r="S13" s="51">
        <f t="shared" ref="S13:S16" si="1">H13-R13</f>
        <v>58729.11</v>
      </c>
    </row>
    <row r="14" spans="1:19" ht="38.450000000000003" customHeight="1" thickBot="1" x14ac:dyDescent="0.45">
      <c r="A14" s="25">
        <v>3</v>
      </c>
      <c r="B14" s="26">
        <v>44564</v>
      </c>
      <c r="C14" s="26">
        <v>45293</v>
      </c>
      <c r="D14" s="27" t="s">
        <v>29</v>
      </c>
      <c r="E14" s="28" t="s">
        <v>108</v>
      </c>
      <c r="F14" s="31" t="s">
        <v>109</v>
      </c>
      <c r="G14" s="27" t="s">
        <v>105</v>
      </c>
      <c r="H14" s="29">
        <v>115000</v>
      </c>
      <c r="I14" s="30">
        <f t="shared" si="0"/>
        <v>3300.5</v>
      </c>
      <c r="J14" s="30">
        <f>H14*3.04%</f>
        <v>3496</v>
      </c>
      <c r="K14" s="30">
        <f t="shared" ref="K14:K16" si="2">H14-I14-J14</f>
        <v>108203.5</v>
      </c>
      <c r="L14" s="51">
        <v>15633.74</v>
      </c>
      <c r="M14" s="51"/>
      <c r="N14" s="30"/>
      <c r="O14" s="30">
        <v>25</v>
      </c>
      <c r="P14" s="30"/>
      <c r="Q14" s="30">
        <v>0</v>
      </c>
      <c r="R14" s="82">
        <f>I14+J14+N14+O14+P14+L14-Q14</f>
        <v>22455.239999999998</v>
      </c>
      <c r="S14" s="51">
        <f>H14-R14</f>
        <v>92544.760000000009</v>
      </c>
    </row>
    <row r="15" spans="1:19" ht="38.450000000000003" customHeight="1" thickBot="1" x14ac:dyDescent="0.45">
      <c r="A15" s="25">
        <v>4</v>
      </c>
      <c r="B15" s="26" t="s">
        <v>110</v>
      </c>
      <c r="C15" s="26">
        <v>45295</v>
      </c>
      <c r="D15" s="27" t="s">
        <v>29</v>
      </c>
      <c r="E15" s="28" t="s">
        <v>111</v>
      </c>
      <c r="F15" s="31" t="s">
        <v>112</v>
      </c>
      <c r="G15" s="27" t="s">
        <v>105</v>
      </c>
      <c r="H15" s="29">
        <v>70000</v>
      </c>
      <c r="I15" s="30">
        <f t="shared" si="0"/>
        <v>2009</v>
      </c>
      <c r="J15" s="30">
        <f>H15*3.04%</f>
        <v>2128</v>
      </c>
      <c r="K15" s="30">
        <f t="shared" si="2"/>
        <v>65863</v>
      </c>
      <c r="L15" s="51">
        <v>5368.45</v>
      </c>
      <c r="M15" s="51"/>
      <c r="N15" s="30"/>
      <c r="O15" s="30">
        <v>25</v>
      </c>
      <c r="P15" s="30"/>
      <c r="Q15" s="30"/>
      <c r="R15" s="30">
        <f>I15+J15+L15+N15+O15+P15</f>
        <v>9530.4500000000007</v>
      </c>
      <c r="S15" s="51">
        <f t="shared" si="1"/>
        <v>60469.55</v>
      </c>
    </row>
    <row r="16" spans="1:19" ht="75.75" customHeight="1" thickBot="1" x14ac:dyDescent="0.45">
      <c r="A16" s="25">
        <v>5</v>
      </c>
      <c r="B16" s="32">
        <v>44929</v>
      </c>
      <c r="C16" s="26">
        <v>45293</v>
      </c>
      <c r="D16" s="27" t="s">
        <v>23</v>
      </c>
      <c r="E16" s="28" t="s">
        <v>113</v>
      </c>
      <c r="F16" s="83" t="s">
        <v>114</v>
      </c>
      <c r="G16" s="27" t="s">
        <v>105</v>
      </c>
      <c r="H16" s="29">
        <v>110000</v>
      </c>
      <c r="I16" s="30">
        <f t="shared" si="0"/>
        <v>3157</v>
      </c>
      <c r="J16" s="30">
        <f>H16*3.04%</f>
        <v>3344</v>
      </c>
      <c r="K16" s="30">
        <f t="shared" si="2"/>
        <v>103499</v>
      </c>
      <c r="L16" s="51">
        <v>14058.29</v>
      </c>
      <c r="M16" s="51"/>
      <c r="N16" s="30">
        <v>1715.46</v>
      </c>
      <c r="O16" s="30">
        <f>25+4500</f>
        <v>4525</v>
      </c>
      <c r="P16" s="30"/>
      <c r="Q16" s="30"/>
      <c r="R16" s="30">
        <f>I16+J16+L16+N16+O16+P16</f>
        <v>26799.75</v>
      </c>
      <c r="S16" s="51">
        <f t="shared" si="1"/>
        <v>83200.25</v>
      </c>
    </row>
    <row r="17" spans="1:19" ht="35.450000000000003" customHeight="1" thickBot="1" x14ac:dyDescent="0.5">
      <c r="A17" s="25"/>
      <c r="B17" s="148" t="s">
        <v>38</v>
      </c>
      <c r="C17" s="149"/>
      <c r="D17" s="149"/>
      <c r="E17" s="149"/>
      <c r="F17" s="150"/>
      <c r="G17" s="84"/>
      <c r="H17" s="85">
        <f>H12+H13+H14+H15+H16</f>
        <v>597000</v>
      </c>
      <c r="I17" s="85">
        <f t="shared" ref="I17:S17" si="3">I12+I13+I14+I15+I16</f>
        <v>17133.900000000001</v>
      </c>
      <c r="J17" s="85">
        <f t="shared" si="3"/>
        <v>16994.207999999999</v>
      </c>
      <c r="K17" s="85">
        <f t="shared" si="3"/>
        <v>562871.89199999999</v>
      </c>
      <c r="L17" s="85">
        <f t="shared" si="3"/>
        <v>83552.860000000015</v>
      </c>
      <c r="M17" s="85">
        <f t="shared" si="3"/>
        <v>0</v>
      </c>
      <c r="N17" s="85">
        <f t="shared" si="3"/>
        <v>1715.46</v>
      </c>
      <c r="O17" s="85">
        <f t="shared" si="3"/>
        <v>11625</v>
      </c>
      <c r="P17" s="85">
        <f t="shared" si="3"/>
        <v>0</v>
      </c>
      <c r="Q17" s="85">
        <f t="shared" si="3"/>
        <v>0</v>
      </c>
      <c r="R17" s="85">
        <f t="shared" si="3"/>
        <v>131021.428</v>
      </c>
      <c r="S17" s="85">
        <f t="shared" si="3"/>
        <v>465978.57199999999</v>
      </c>
    </row>
    <row r="18" spans="1:19" ht="48.6" customHeight="1" thickBot="1" x14ac:dyDescent="0.45">
      <c r="A18" s="25"/>
      <c r="B18" s="157" t="s">
        <v>115</v>
      </c>
      <c r="C18" s="158"/>
      <c r="D18" s="158"/>
      <c r="E18" s="159"/>
      <c r="F18" s="28"/>
      <c r="G18" s="28"/>
      <c r="H18" s="29"/>
      <c r="I18" s="30"/>
      <c r="J18" s="30"/>
      <c r="K18" s="30"/>
      <c r="L18" s="51"/>
      <c r="M18" s="51"/>
      <c r="N18" s="30"/>
      <c r="O18" s="30"/>
      <c r="P18" s="30"/>
      <c r="Q18" s="30"/>
      <c r="R18" s="30"/>
      <c r="S18" s="30"/>
    </row>
    <row r="19" spans="1:19" ht="36.6" customHeight="1" thickBot="1" x14ac:dyDescent="0.45">
      <c r="A19" s="25">
        <v>6</v>
      </c>
      <c r="B19" s="26">
        <v>43872</v>
      </c>
      <c r="C19" s="26">
        <v>45296</v>
      </c>
      <c r="D19" s="26" t="s">
        <v>29</v>
      </c>
      <c r="E19" s="86" t="s">
        <v>116</v>
      </c>
      <c r="F19" s="28" t="s">
        <v>117</v>
      </c>
      <c r="G19" s="27" t="s">
        <v>105</v>
      </c>
      <c r="H19" s="29">
        <v>225000</v>
      </c>
      <c r="I19" s="30">
        <f>H19*2.87%</f>
        <v>6457.5</v>
      </c>
      <c r="J19" s="30">
        <f>187020*3.04%</f>
        <v>5685.4080000000004</v>
      </c>
      <c r="K19" s="30">
        <f>H19-I19-J19</f>
        <v>212857.092</v>
      </c>
      <c r="L19" s="51">
        <v>41797.19</v>
      </c>
      <c r="M19" s="51"/>
      <c r="N19" s="30"/>
      <c r="O19" s="30">
        <f>25+6000</f>
        <v>6025</v>
      </c>
      <c r="P19" s="30"/>
      <c r="Q19" s="87"/>
      <c r="R19" s="87">
        <f>I19+J19+L19+N19+O19+P19</f>
        <v>59965.097999999998</v>
      </c>
      <c r="S19" s="51">
        <f>H19-R19</f>
        <v>165034.902</v>
      </c>
    </row>
    <row r="20" spans="1:19" ht="37.15" customHeight="1" thickBot="1" x14ac:dyDescent="0.45">
      <c r="A20" s="25">
        <v>7</v>
      </c>
      <c r="B20" s="26" t="s">
        <v>118</v>
      </c>
      <c r="C20" s="26">
        <v>45296</v>
      </c>
      <c r="D20" s="27" t="s">
        <v>29</v>
      </c>
      <c r="E20" s="28" t="s">
        <v>119</v>
      </c>
      <c r="F20" s="28" t="s">
        <v>120</v>
      </c>
      <c r="G20" s="27" t="s">
        <v>105</v>
      </c>
      <c r="H20" s="29">
        <v>115000</v>
      </c>
      <c r="I20" s="30">
        <f>H20*2.87%</f>
        <v>3300.5</v>
      </c>
      <c r="J20" s="30">
        <f>H20*3.04%</f>
        <v>3496</v>
      </c>
      <c r="K20" s="30">
        <f>H20-I20-J20</f>
        <v>108203.5</v>
      </c>
      <c r="L20" s="51">
        <v>15633.74</v>
      </c>
      <c r="M20" s="51"/>
      <c r="N20" s="30"/>
      <c r="O20" s="30">
        <f>25+5600</f>
        <v>5625</v>
      </c>
      <c r="P20" s="30"/>
      <c r="Q20" s="87">
        <v>0</v>
      </c>
      <c r="R20" s="87">
        <f>I20+J20+N20+O20+P20+L20-Q20</f>
        <v>28055.239999999998</v>
      </c>
      <c r="S20" s="51">
        <f t="shared" ref="S20:S21" si="4">H20-R20</f>
        <v>86944.760000000009</v>
      </c>
    </row>
    <row r="21" spans="1:19" ht="37.15" customHeight="1" thickBot="1" x14ac:dyDescent="0.5">
      <c r="A21" s="25">
        <v>8</v>
      </c>
      <c r="B21" s="26">
        <v>44928</v>
      </c>
      <c r="C21" s="26">
        <v>45296</v>
      </c>
      <c r="D21" s="27" t="s">
        <v>29</v>
      </c>
      <c r="E21" s="28" t="s">
        <v>121</v>
      </c>
      <c r="F21" s="28" t="s">
        <v>122</v>
      </c>
      <c r="G21" s="27" t="s">
        <v>105</v>
      </c>
      <c r="H21" s="29">
        <v>72000</v>
      </c>
      <c r="I21" s="30">
        <f>H21*2.87%</f>
        <v>2066.4</v>
      </c>
      <c r="J21" s="30">
        <f>H21*3.04%</f>
        <v>2188.8000000000002</v>
      </c>
      <c r="K21" s="30">
        <f>H21-I21-J21</f>
        <v>67744.800000000003</v>
      </c>
      <c r="L21" s="51">
        <v>5744.84</v>
      </c>
      <c r="M21" s="51"/>
      <c r="N21" s="30"/>
      <c r="O21" s="30">
        <v>25</v>
      </c>
      <c r="P21" s="30"/>
      <c r="Q21" s="87"/>
      <c r="R21" s="87">
        <f>I21+J21+L21+N21+O21+P21</f>
        <v>10025.040000000001</v>
      </c>
      <c r="S21" s="51">
        <f t="shared" si="4"/>
        <v>61974.96</v>
      </c>
    </row>
    <row r="22" spans="1:19" ht="39.6" customHeight="1" thickBot="1" x14ac:dyDescent="0.5">
      <c r="A22" s="25"/>
      <c r="B22" s="148" t="s">
        <v>123</v>
      </c>
      <c r="C22" s="149"/>
      <c r="D22" s="149"/>
      <c r="E22" s="149"/>
      <c r="F22" s="150"/>
      <c r="G22" s="88"/>
      <c r="H22" s="85">
        <f>H19+H20+H21</f>
        <v>412000</v>
      </c>
      <c r="I22" s="85">
        <f t="shared" ref="I22:S22" si="5">I19+I20+I21</f>
        <v>11824.4</v>
      </c>
      <c r="J22" s="85">
        <f t="shared" si="5"/>
        <v>11370.207999999999</v>
      </c>
      <c r="K22" s="85">
        <f t="shared" si="5"/>
        <v>388805.39199999999</v>
      </c>
      <c r="L22" s="85">
        <f t="shared" si="5"/>
        <v>63175.770000000004</v>
      </c>
      <c r="M22" s="85">
        <f t="shared" si="5"/>
        <v>0</v>
      </c>
      <c r="N22" s="85">
        <f t="shared" si="5"/>
        <v>0</v>
      </c>
      <c r="O22" s="85">
        <f t="shared" si="5"/>
        <v>11675</v>
      </c>
      <c r="P22" s="85">
        <f t="shared" si="5"/>
        <v>0</v>
      </c>
      <c r="Q22" s="85">
        <f t="shared" si="5"/>
        <v>0</v>
      </c>
      <c r="R22" s="85">
        <f t="shared" si="5"/>
        <v>98045.377999999997</v>
      </c>
      <c r="S22" s="85">
        <f t="shared" si="5"/>
        <v>313954.62200000003</v>
      </c>
    </row>
    <row r="23" spans="1:19" ht="48.6" customHeight="1" thickBot="1" x14ac:dyDescent="0.45">
      <c r="A23" s="25"/>
      <c r="B23" s="157" t="s">
        <v>124</v>
      </c>
      <c r="C23" s="158"/>
      <c r="D23" s="158"/>
      <c r="E23" s="158"/>
      <c r="F23" s="35"/>
      <c r="G23" s="88"/>
      <c r="H23" s="84"/>
      <c r="I23" s="84"/>
      <c r="J23" s="84"/>
      <c r="K23" s="84"/>
      <c r="L23" s="84"/>
      <c r="M23" s="84"/>
      <c r="N23" s="84"/>
      <c r="O23" s="29"/>
      <c r="P23" s="84"/>
      <c r="Q23" s="89"/>
      <c r="R23" s="89"/>
      <c r="S23" s="84"/>
    </row>
    <row r="24" spans="1:19" ht="37.15" customHeight="1" thickBot="1" x14ac:dyDescent="0.5">
      <c r="A24" s="25">
        <v>9</v>
      </c>
      <c r="B24" s="26" t="s">
        <v>125</v>
      </c>
      <c r="C24" s="26">
        <v>45293</v>
      </c>
      <c r="D24" s="26" t="s">
        <v>29</v>
      </c>
      <c r="E24" s="90" t="s">
        <v>126</v>
      </c>
      <c r="F24" s="90" t="s">
        <v>127</v>
      </c>
      <c r="G24" s="27" t="s">
        <v>105</v>
      </c>
      <c r="H24" s="29">
        <v>225000</v>
      </c>
      <c r="I24" s="29">
        <f t="shared" ref="I24:I31" si="6">H24*2.87%</f>
        <v>6457.5</v>
      </c>
      <c r="J24" s="29">
        <f>187020*3.04%</f>
        <v>5685.4080000000004</v>
      </c>
      <c r="K24" s="29">
        <f t="shared" ref="K24:K31" si="7">H24-I24-J24</f>
        <v>212857.092</v>
      </c>
      <c r="L24" s="29">
        <v>41797.19</v>
      </c>
      <c r="M24" s="29"/>
      <c r="N24" s="29"/>
      <c r="O24" s="29">
        <v>25</v>
      </c>
      <c r="P24" s="29"/>
      <c r="Q24" s="82"/>
      <c r="R24" s="82">
        <f t="shared" ref="R24:R31" si="8">I24+L24+N24+O24+P24+J24</f>
        <v>53965.098000000005</v>
      </c>
      <c r="S24" s="29">
        <f t="shared" ref="S24:S31" si="9">H24-R24</f>
        <v>171034.902</v>
      </c>
    </row>
    <row r="25" spans="1:19" ht="37.15" customHeight="1" thickBot="1" x14ac:dyDescent="0.45">
      <c r="A25" s="25">
        <v>10</v>
      </c>
      <c r="B25" s="32">
        <v>44198</v>
      </c>
      <c r="C25" s="32">
        <v>45293</v>
      </c>
      <c r="D25" s="26" t="s">
        <v>29</v>
      </c>
      <c r="E25" s="90" t="s">
        <v>128</v>
      </c>
      <c r="F25" s="86" t="s">
        <v>129</v>
      </c>
      <c r="G25" s="27" t="s">
        <v>105</v>
      </c>
      <c r="H25" s="29">
        <v>105000</v>
      </c>
      <c r="I25" s="29">
        <f t="shared" si="6"/>
        <v>3013.5</v>
      </c>
      <c r="J25" s="29">
        <f t="shared" ref="J25:J31" si="10">H25*3.04%</f>
        <v>3192</v>
      </c>
      <c r="K25" s="29">
        <f t="shared" si="7"/>
        <v>98794.5</v>
      </c>
      <c r="L25" s="29">
        <v>13281.49</v>
      </c>
      <c r="M25" s="29"/>
      <c r="N25" s="29"/>
      <c r="O25" s="29">
        <f>25+12000</f>
        <v>12025</v>
      </c>
      <c r="P25" s="29"/>
      <c r="Q25" s="82"/>
      <c r="R25" s="82">
        <f t="shared" si="8"/>
        <v>31511.989999999998</v>
      </c>
      <c r="S25" s="29">
        <f t="shared" si="9"/>
        <v>73488.010000000009</v>
      </c>
    </row>
    <row r="26" spans="1:19" ht="37.15" customHeight="1" thickBot="1" x14ac:dyDescent="0.5">
      <c r="A26" s="25">
        <v>11</v>
      </c>
      <c r="B26" s="32">
        <v>44175</v>
      </c>
      <c r="C26" s="32">
        <v>45293</v>
      </c>
      <c r="D26" s="26" t="s">
        <v>23</v>
      </c>
      <c r="E26" s="90" t="s">
        <v>130</v>
      </c>
      <c r="F26" s="86" t="s">
        <v>131</v>
      </c>
      <c r="G26" s="27" t="s">
        <v>105</v>
      </c>
      <c r="H26" s="29">
        <v>80000</v>
      </c>
      <c r="I26" s="29">
        <f t="shared" si="6"/>
        <v>2296</v>
      </c>
      <c r="J26" s="29">
        <f t="shared" si="10"/>
        <v>2432</v>
      </c>
      <c r="K26" s="29">
        <f t="shared" si="7"/>
        <v>75272</v>
      </c>
      <c r="L26" s="29">
        <v>7400.87</v>
      </c>
      <c r="M26" s="29"/>
      <c r="N26" s="84"/>
      <c r="O26" s="29">
        <v>25</v>
      </c>
      <c r="P26" s="84"/>
      <c r="Q26" s="89"/>
      <c r="R26" s="82">
        <f t="shared" si="8"/>
        <v>12153.869999999999</v>
      </c>
      <c r="S26" s="29">
        <f t="shared" si="9"/>
        <v>67846.13</v>
      </c>
    </row>
    <row r="27" spans="1:19" ht="37.15" customHeight="1" thickBot="1" x14ac:dyDescent="0.5">
      <c r="A27" s="25">
        <v>12</v>
      </c>
      <c r="B27" s="32">
        <v>44564</v>
      </c>
      <c r="C27" s="32">
        <v>45294</v>
      </c>
      <c r="D27" s="26" t="s">
        <v>29</v>
      </c>
      <c r="E27" s="90" t="s">
        <v>132</v>
      </c>
      <c r="F27" s="86" t="s">
        <v>133</v>
      </c>
      <c r="G27" s="27" t="s">
        <v>105</v>
      </c>
      <c r="H27" s="29">
        <v>85000</v>
      </c>
      <c r="I27" s="29">
        <f t="shared" si="6"/>
        <v>2439.5</v>
      </c>
      <c r="J27" s="29">
        <f t="shared" si="10"/>
        <v>2584</v>
      </c>
      <c r="K27" s="29">
        <f t="shared" si="7"/>
        <v>79976.5</v>
      </c>
      <c r="L27" s="29">
        <v>8576.99</v>
      </c>
      <c r="M27" s="29">
        <v>0</v>
      </c>
      <c r="N27" s="84"/>
      <c r="O27" s="29">
        <v>25</v>
      </c>
      <c r="P27" s="84"/>
      <c r="Q27" s="89"/>
      <c r="R27" s="82">
        <f t="shared" si="8"/>
        <v>13625.49</v>
      </c>
      <c r="S27" s="29">
        <f t="shared" si="9"/>
        <v>71374.509999999995</v>
      </c>
    </row>
    <row r="28" spans="1:19" ht="37.15" customHeight="1" thickBot="1" x14ac:dyDescent="0.5">
      <c r="A28" s="25">
        <v>13</v>
      </c>
      <c r="B28" s="32">
        <v>44207</v>
      </c>
      <c r="C28" s="32">
        <v>45296</v>
      </c>
      <c r="D28" s="26" t="s">
        <v>23</v>
      </c>
      <c r="E28" s="90" t="s">
        <v>134</v>
      </c>
      <c r="F28" s="28" t="s">
        <v>135</v>
      </c>
      <c r="G28" s="27" t="s">
        <v>105</v>
      </c>
      <c r="H28" s="29">
        <v>55000</v>
      </c>
      <c r="I28" s="29">
        <f t="shared" si="6"/>
        <v>1578.5</v>
      </c>
      <c r="J28" s="29">
        <f t="shared" si="10"/>
        <v>1672</v>
      </c>
      <c r="K28" s="29">
        <f t="shared" si="7"/>
        <v>51749.5</v>
      </c>
      <c r="L28" s="29">
        <v>2559.6799999999998</v>
      </c>
      <c r="M28" s="29"/>
      <c r="N28" s="84"/>
      <c r="O28" s="29">
        <v>25</v>
      </c>
      <c r="P28" s="84"/>
      <c r="Q28" s="89"/>
      <c r="R28" s="82">
        <f t="shared" si="8"/>
        <v>5835.18</v>
      </c>
      <c r="S28" s="29">
        <f t="shared" si="9"/>
        <v>49164.82</v>
      </c>
    </row>
    <row r="29" spans="1:19" ht="37.15" customHeight="1" thickBot="1" x14ac:dyDescent="0.45">
      <c r="A29" s="25">
        <v>14</v>
      </c>
      <c r="B29" s="32">
        <v>44567</v>
      </c>
      <c r="C29" s="32">
        <v>45297</v>
      </c>
      <c r="D29" s="26" t="s">
        <v>29</v>
      </c>
      <c r="E29" s="90" t="s">
        <v>136</v>
      </c>
      <c r="F29" s="28" t="s">
        <v>137</v>
      </c>
      <c r="G29" s="27" t="s">
        <v>105</v>
      </c>
      <c r="H29" s="29">
        <v>55000</v>
      </c>
      <c r="I29" s="29">
        <f t="shared" si="6"/>
        <v>1578.5</v>
      </c>
      <c r="J29" s="29">
        <f t="shared" si="10"/>
        <v>1672</v>
      </c>
      <c r="K29" s="29">
        <f t="shared" si="7"/>
        <v>51749.5</v>
      </c>
      <c r="L29" s="29">
        <v>2559.6799999999998</v>
      </c>
      <c r="M29" s="29">
        <v>0</v>
      </c>
      <c r="N29" s="84"/>
      <c r="O29" s="29">
        <f>25+7500</f>
        <v>7525</v>
      </c>
      <c r="P29" s="84"/>
      <c r="Q29" s="89"/>
      <c r="R29" s="82">
        <f t="shared" si="8"/>
        <v>13335.18</v>
      </c>
      <c r="S29" s="29">
        <f t="shared" si="9"/>
        <v>41664.82</v>
      </c>
    </row>
    <row r="30" spans="1:19" ht="37.15" customHeight="1" thickBot="1" x14ac:dyDescent="0.5">
      <c r="A30" s="25">
        <v>15</v>
      </c>
      <c r="B30" s="32">
        <v>44566</v>
      </c>
      <c r="C30" s="32">
        <v>45296</v>
      </c>
      <c r="D30" s="26" t="s">
        <v>29</v>
      </c>
      <c r="E30" s="90" t="s">
        <v>138</v>
      </c>
      <c r="F30" s="28" t="s">
        <v>139</v>
      </c>
      <c r="G30" s="27" t="s">
        <v>105</v>
      </c>
      <c r="H30" s="29">
        <v>65000</v>
      </c>
      <c r="I30" s="29">
        <f t="shared" si="6"/>
        <v>1865.5</v>
      </c>
      <c r="J30" s="29">
        <f t="shared" si="10"/>
        <v>1976</v>
      </c>
      <c r="K30" s="29">
        <f t="shared" si="7"/>
        <v>61158.5</v>
      </c>
      <c r="L30" s="29">
        <v>4427.58</v>
      </c>
      <c r="M30" s="29"/>
      <c r="N30" s="84"/>
      <c r="O30" s="29">
        <f>25+4500</f>
        <v>4525</v>
      </c>
      <c r="P30" s="84"/>
      <c r="Q30" s="89"/>
      <c r="R30" s="82">
        <f t="shared" si="8"/>
        <v>12794.08</v>
      </c>
      <c r="S30" s="29">
        <f t="shared" si="9"/>
        <v>52205.919999999998</v>
      </c>
    </row>
    <row r="31" spans="1:19" ht="37.15" customHeight="1" thickBot="1" x14ac:dyDescent="0.5">
      <c r="A31" s="25">
        <v>16</v>
      </c>
      <c r="B31" s="32">
        <v>44936</v>
      </c>
      <c r="C31" s="32">
        <v>45295</v>
      </c>
      <c r="D31" s="26" t="s">
        <v>29</v>
      </c>
      <c r="E31" s="90" t="s">
        <v>140</v>
      </c>
      <c r="F31" s="28" t="s">
        <v>141</v>
      </c>
      <c r="G31" s="27" t="s">
        <v>142</v>
      </c>
      <c r="H31" s="29">
        <v>100000</v>
      </c>
      <c r="I31" s="29">
        <f t="shared" si="6"/>
        <v>2870</v>
      </c>
      <c r="J31" s="29">
        <f t="shared" si="10"/>
        <v>3040</v>
      </c>
      <c r="K31" s="29">
        <f t="shared" si="7"/>
        <v>94090</v>
      </c>
      <c r="L31" s="29">
        <v>12105.44</v>
      </c>
      <c r="M31" s="29"/>
      <c r="N31" s="84"/>
      <c r="O31" s="29">
        <v>25</v>
      </c>
      <c r="P31" s="84"/>
      <c r="Q31" s="89"/>
      <c r="R31" s="82">
        <f t="shared" si="8"/>
        <v>18040.440000000002</v>
      </c>
      <c r="S31" s="29">
        <f t="shared" si="9"/>
        <v>81959.56</v>
      </c>
    </row>
    <row r="32" spans="1:19" ht="48.6" customHeight="1" thickBot="1" x14ac:dyDescent="0.5">
      <c r="A32" s="25"/>
      <c r="B32" s="148" t="s">
        <v>123</v>
      </c>
      <c r="C32" s="149"/>
      <c r="D32" s="149"/>
      <c r="E32" s="149"/>
      <c r="F32" s="150"/>
      <c r="G32" s="88"/>
      <c r="H32" s="91">
        <f>H24+H25+H26+H28+H27+H29+H30+H31</f>
        <v>770000</v>
      </c>
      <c r="I32" s="91">
        <f t="shared" ref="I32:S32" si="11">I24+I25+I26+I28+I27+I29+I30+I31</f>
        <v>22099</v>
      </c>
      <c r="J32" s="91">
        <f t="shared" si="11"/>
        <v>22253.407999999999</v>
      </c>
      <c r="K32" s="91">
        <f t="shared" si="11"/>
        <v>725647.59199999995</v>
      </c>
      <c r="L32" s="91">
        <f t="shared" si="11"/>
        <v>92708.92</v>
      </c>
      <c r="M32" s="91">
        <f t="shared" si="11"/>
        <v>0</v>
      </c>
      <c r="N32" s="91">
        <f t="shared" si="11"/>
        <v>0</v>
      </c>
      <c r="O32" s="91">
        <f t="shared" si="11"/>
        <v>24200</v>
      </c>
      <c r="P32" s="91">
        <f t="shared" si="11"/>
        <v>0</v>
      </c>
      <c r="Q32" s="91">
        <f t="shared" si="11"/>
        <v>0</v>
      </c>
      <c r="R32" s="91">
        <f t="shared" si="11"/>
        <v>161261.32800000001</v>
      </c>
      <c r="S32" s="91">
        <f t="shared" si="11"/>
        <v>608738.67200000002</v>
      </c>
    </row>
    <row r="33" spans="1:19" ht="37.15" customHeight="1" thickBot="1" x14ac:dyDescent="0.5">
      <c r="A33" s="25"/>
      <c r="B33" s="157" t="s">
        <v>143</v>
      </c>
      <c r="C33" s="158"/>
      <c r="D33" s="158"/>
      <c r="E33" s="159"/>
      <c r="F33" s="35"/>
      <c r="G33" s="88"/>
      <c r="H33" s="84"/>
      <c r="I33" s="84"/>
      <c r="J33" s="84"/>
      <c r="K33" s="84"/>
      <c r="L33" s="84"/>
      <c r="M33" s="84"/>
      <c r="N33" s="84"/>
      <c r="O33" s="84"/>
      <c r="P33" s="84"/>
      <c r="Q33" s="89"/>
      <c r="R33" s="89"/>
      <c r="S33" s="84"/>
    </row>
    <row r="34" spans="1:19" ht="38.450000000000003" customHeight="1" thickBot="1" x14ac:dyDescent="0.45">
      <c r="A34" s="25">
        <v>17</v>
      </c>
      <c r="B34" s="32" t="s">
        <v>22</v>
      </c>
      <c r="C34" s="32">
        <v>45293</v>
      </c>
      <c r="D34" s="26" t="s">
        <v>29</v>
      </c>
      <c r="E34" s="90" t="s">
        <v>144</v>
      </c>
      <c r="F34" s="86" t="s">
        <v>145</v>
      </c>
      <c r="G34" s="27" t="s">
        <v>105</v>
      </c>
      <c r="H34" s="29">
        <v>235000</v>
      </c>
      <c r="I34" s="29">
        <f t="shared" ref="I34:I40" si="12">H34*2.87%</f>
        <v>6744.5</v>
      </c>
      <c r="J34" s="29">
        <f>187020*3.04%</f>
        <v>5685.4080000000004</v>
      </c>
      <c r="K34" s="29">
        <f t="shared" ref="K34:K40" si="13">H34-I34-J34</f>
        <v>222570.092</v>
      </c>
      <c r="L34" s="29">
        <v>44225.39</v>
      </c>
      <c r="M34" s="29"/>
      <c r="N34" s="29"/>
      <c r="O34" s="29">
        <v>25</v>
      </c>
      <c r="P34" s="29"/>
      <c r="Q34" s="82">
        <v>0</v>
      </c>
      <c r="R34" s="82">
        <f>I34+J34+N34+O34+P34+L34-Q34</f>
        <v>56680.297999999995</v>
      </c>
      <c r="S34" s="29">
        <f t="shared" ref="S34:S40" si="14">H34-R34</f>
        <v>178319.70199999999</v>
      </c>
    </row>
    <row r="35" spans="1:19" ht="57.75" thickBot="1" x14ac:dyDescent="0.45">
      <c r="A35" s="25">
        <v>18</v>
      </c>
      <c r="B35" s="32">
        <v>44198</v>
      </c>
      <c r="C35" s="32">
        <v>45293</v>
      </c>
      <c r="D35" s="26" t="s">
        <v>29</v>
      </c>
      <c r="E35" s="90" t="s">
        <v>146</v>
      </c>
      <c r="F35" s="92" t="s">
        <v>147</v>
      </c>
      <c r="G35" s="93" t="s">
        <v>105</v>
      </c>
      <c r="H35" s="29">
        <v>150000</v>
      </c>
      <c r="I35" s="29">
        <f t="shared" si="12"/>
        <v>4305</v>
      </c>
      <c r="J35" s="29">
        <f t="shared" ref="J35:J40" si="15">H35*3.04%</f>
        <v>4560</v>
      </c>
      <c r="K35" s="29">
        <f t="shared" si="13"/>
        <v>141135</v>
      </c>
      <c r="L35" s="29">
        <v>23866.69</v>
      </c>
      <c r="M35" s="94"/>
      <c r="N35" s="95"/>
      <c r="O35" s="29">
        <v>25</v>
      </c>
      <c r="P35" s="29"/>
      <c r="Q35" s="82">
        <v>0</v>
      </c>
      <c r="R35" s="82">
        <f>I35+J35+N35+O35+P35+L35-Q35</f>
        <v>32756.69</v>
      </c>
      <c r="S35" s="29">
        <f t="shared" si="14"/>
        <v>117243.31</v>
      </c>
    </row>
    <row r="36" spans="1:19" ht="38.450000000000003" customHeight="1" thickBot="1" x14ac:dyDescent="0.5">
      <c r="A36" s="25">
        <v>19</v>
      </c>
      <c r="B36" s="32">
        <v>44621</v>
      </c>
      <c r="C36" s="32">
        <v>44997</v>
      </c>
      <c r="D36" s="26" t="s">
        <v>23</v>
      </c>
      <c r="E36" s="90" t="s">
        <v>148</v>
      </c>
      <c r="F36" s="86" t="s">
        <v>149</v>
      </c>
      <c r="G36" s="93" t="s">
        <v>105</v>
      </c>
      <c r="H36" s="29">
        <v>90000</v>
      </c>
      <c r="I36" s="29">
        <f t="shared" si="12"/>
        <v>2583</v>
      </c>
      <c r="J36" s="29">
        <f t="shared" si="15"/>
        <v>2736</v>
      </c>
      <c r="K36" s="29">
        <f t="shared" si="13"/>
        <v>84681</v>
      </c>
      <c r="L36" s="29">
        <v>9753.1200000000008</v>
      </c>
      <c r="M36" s="29"/>
      <c r="N36" s="29"/>
      <c r="O36" s="29">
        <v>25</v>
      </c>
      <c r="P36" s="29"/>
      <c r="Q36" s="82"/>
      <c r="R36" s="82">
        <f t="shared" ref="R36:R40" si="16">I36+J36+N36+O36+P36+L36</f>
        <v>15097.12</v>
      </c>
      <c r="S36" s="29">
        <f t="shared" si="14"/>
        <v>74902.880000000005</v>
      </c>
    </row>
    <row r="37" spans="1:19" ht="37.15" customHeight="1" thickBot="1" x14ac:dyDescent="0.5">
      <c r="A37" s="25">
        <v>20</v>
      </c>
      <c r="B37" s="32">
        <v>44198</v>
      </c>
      <c r="C37" s="32">
        <v>45293</v>
      </c>
      <c r="D37" s="26" t="s">
        <v>23</v>
      </c>
      <c r="E37" s="90" t="s">
        <v>150</v>
      </c>
      <c r="F37" s="86" t="s">
        <v>151</v>
      </c>
      <c r="G37" s="27" t="s">
        <v>105</v>
      </c>
      <c r="H37" s="29">
        <v>60000</v>
      </c>
      <c r="I37" s="29">
        <f t="shared" si="12"/>
        <v>1722</v>
      </c>
      <c r="J37" s="29">
        <f t="shared" si="15"/>
        <v>1824</v>
      </c>
      <c r="K37" s="29">
        <f t="shared" si="13"/>
        <v>56454</v>
      </c>
      <c r="L37" s="29">
        <v>3483.0699999999997</v>
      </c>
      <c r="M37" s="29"/>
      <c r="N37" s="29"/>
      <c r="O37" s="29">
        <v>25</v>
      </c>
      <c r="P37" s="29"/>
      <c r="Q37" s="82"/>
      <c r="R37" s="82">
        <f>I37+J37+N37+O37+P37+L37</f>
        <v>7054.07</v>
      </c>
      <c r="S37" s="29">
        <f t="shared" si="14"/>
        <v>52945.93</v>
      </c>
    </row>
    <row r="38" spans="1:19" ht="37.15" customHeight="1" thickBot="1" x14ac:dyDescent="0.5">
      <c r="A38" s="25">
        <v>21</v>
      </c>
      <c r="B38" s="32">
        <v>44206</v>
      </c>
      <c r="C38" s="32">
        <v>45293</v>
      </c>
      <c r="D38" s="26" t="s">
        <v>29</v>
      </c>
      <c r="E38" s="90" t="s">
        <v>152</v>
      </c>
      <c r="F38" s="86" t="s">
        <v>149</v>
      </c>
      <c r="G38" s="27" t="s">
        <v>105</v>
      </c>
      <c r="H38" s="29">
        <v>70000</v>
      </c>
      <c r="I38" s="29">
        <f t="shared" si="12"/>
        <v>2009</v>
      </c>
      <c r="J38" s="29">
        <f t="shared" si="15"/>
        <v>2128</v>
      </c>
      <c r="K38" s="29">
        <f t="shared" si="13"/>
        <v>65863</v>
      </c>
      <c r="L38" s="29">
        <f>5368.45-M38</f>
        <v>5368.45</v>
      </c>
      <c r="M38" s="29">
        <v>0</v>
      </c>
      <c r="N38" s="29"/>
      <c r="O38" s="29">
        <v>25</v>
      </c>
      <c r="P38" s="29"/>
      <c r="Q38" s="82"/>
      <c r="R38" s="82">
        <f t="shared" si="16"/>
        <v>9530.4500000000007</v>
      </c>
      <c r="S38" s="29">
        <f t="shared" si="14"/>
        <v>60469.55</v>
      </c>
    </row>
    <row r="39" spans="1:19" ht="37.15" customHeight="1" thickBot="1" x14ac:dyDescent="0.5">
      <c r="A39" s="25">
        <v>22</v>
      </c>
      <c r="B39" s="32">
        <v>44198</v>
      </c>
      <c r="C39" s="32">
        <v>45297</v>
      </c>
      <c r="D39" s="26" t="s">
        <v>29</v>
      </c>
      <c r="E39" s="90" t="s">
        <v>153</v>
      </c>
      <c r="F39" s="86" t="s">
        <v>149</v>
      </c>
      <c r="G39" s="27" t="s">
        <v>105</v>
      </c>
      <c r="H39" s="29">
        <v>95000</v>
      </c>
      <c r="I39" s="29">
        <f t="shared" si="12"/>
        <v>2726.5</v>
      </c>
      <c r="J39" s="29">
        <f t="shared" si="15"/>
        <v>2888</v>
      </c>
      <c r="K39" s="29">
        <f t="shared" si="13"/>
        <v>89385.5</v>
      </c>
      <c r="L39" s="29">
        <v>10929.24</v>
      </c>
      <c r="M39" s="29"/>
      <c r="N39" s="29"/>
      <c r="O39" s="29">
        <v>25</v>
      </c>
      <c r="P39" s="29">
        <v>4602.7</v>
      </c>
      <c r="Q39" s="82"/>
      <c r="R39" s="82">
        <f t="shared" si="16"/>
        <v>21171.440000000002</v>
      </c>
      <c r="S39" s="29">
        <f t="shared" si="14"/>
        <v>73828.56</v>
      </c>
    </row>
    <row r="40" spans="1:19" ht="37.15" customHeight="1" thickBot="1" x14ac:dyDescent="0.5">
      <c r="A40" s="25">
        <v>23</v>
      </c>
      <c r="B40" s="32">
        <v>44938</v>
      </c>
      <c r="C40" s="32">
        <v>45297</v>
      </c>
      <c r="D40" s="26" t="s">
        <v>23</v>
      </c>
      <c r="E40" s="90" t="s">
        <v>154</v>
      </c>
      <c r="F40" s="86" t="s">
        <v>149</v>
      </c>
      <c r="G40" s="27" t="s">
        <v>105</v>
      </c>
      <c r="H40" s="29">
        <v>95000</v>
      </c>
      <c r="I40" s="29">
        <f t="shared" si="12"/>
        <v>2726.5</v>
      </c>
      <c r="J40" s="29">
        <f t="shared" si="15"/>
        <v>2888</v>
      </c>
      <c r="K40" s="29">
        <f t="shared" si="13"/>
        <v>89385.5</v>
      </c>
      <c r="L40" s="29">
        <v>10929.24</v>
      </c>
      <c r="M40" s="29"/>
      <c r="N40" s="29"/>
      <c r="O40" s="29">
        <v>25</v>
      </c>
      <c r="P40" s="29">
        <v>4602.7</v>
      </c>
      <c r="Q40" s="82"/>
      <c r="R40" s="82">
        <f t="shared" si="16"/>
        <v>21171.440000000002</v>
      </c>
      <c r="S40" s="29">
        <f t="shared" si="14"/>
        <v>73828.56</v>
      </c>
    </row>
    <row r="41" spans="1:19" ht="48.6" customHeight="1" thickBot="1" x14ac:dyDescent="0.5">
      <c r="A41" s="25"/>
      <c r="B41" s="148" t="s">
        <v>123</v>
      </c>
      <c r="C41" s="149"/>
      <c r="D41" s="149"/>
      <c r="E41" s="149"/>
      <c r="F41" s="150"/>
      <c r="G41" s="88"/>
      <c r="H41" s="85">
        <f>H34+H35+H37+H38+H36+H39+H40</f>
        <v>795000</v>
      </c>
      <c r="I41" s="85">
        <f t="shared" ref="I41:S41" si="17">I34+I35+I37+I38+I36+I39+I40</f>
        <v>22816.5</v>
      </c>
      <c r="J41" s="85">
        <f t="shared" si="17"/>
        <v>22709.407999999999</v>
      </c>
      <c r="K41" s="85">
        <f t="shared" si="17"/>
        <v>749474.09199999995</v>
      </c>
      <c r="L41" s="85">
        <f t="shared" si="17"/>
        <v>108555.2</v>
      </c>
      <c r="M41" s="85">
        <f t="shared" si="17"/>
        <v>0</v>
      </c>
      <c r="N41" s="85">
        <f t="shared" si="17"/>
        <v>0</v>
      </c>
      <c r="O41" s="85">
        <f t="shared" si="17"/>
        <v>175</v>
      </c>
      <c r="P41" s="85">
        <f t="shared" si="17"/>
        <v>9205.4</v>
      </c>
      <c r="Q41" s="85">
        <f t="shared" si="17"/>
        <v>0</v>
      </c>
      <c r="R41" s="85">
        <f t="shared" si="17"/>
        <v>163461.50799999997</v>
      </c>
      <c r="S41" s="85">
        <f t="shared" si="17"/>
        <v>631538.49200000009</v>
      </c>
    </row>
    <row r="42" spans="1:19" ht="48.6" customHeight="1" thickBot="1" x14ac:dyDescent="0.45">
      <c r="A42" s="25"/>
      <c r="B42" s="157" t="s">
        <v>155</v>
      </c>
      <c r="C42" s="158"/>
      <c r="D42" s="158"/>
      <c r="E42" s="159"/>
      <c r="F42" s="35"/>
      <c r="G42" s="88"/>
      <c r="H42" s="84"/>
      <c r="I42" s="84"/>
      <c r="J42" s="84"/>
      <c r="K42" s="84"/>
      <c r="L42" s="84"/>
      <c r="M42" s="84"/>
      <c r="N42" s="84"/>
      <c r="O42" s="29"/>
      <c r="P42" s="84"/>
      <c r="Q42" s="89"/>
      <c r="R42" s="89"/>
      <c r="S42" s="84"/>
    </row>
    <row r="43" spans="1:19" ht="37.15" customHeight="1" thickBot="1" x14ac:dyDescent="0.5">
      <c r="A43" s="25">
        <v>23</v>
      </c>
      <c r="B43" s="32" t="s">
        <v>22</v>
      </c>
      <c r="C43" s="32">
        <v>45296</v>
      </c>
      <c r="D43" s="26" t="s">
        <v>23</v>
      </c>
      <c r="E43" s="90" t="s">
        <v>156</v>
      </c>
      <c r="F43" s="86" t="s">
        <v>157</v>
      </c>
      <c r="G43" s="27" t="s">
        <v>105</v>
      </c>
      <c r="H43" s="29">
        <v>225000</v>
      </c>
      <c r="I43" s="29">
        <f t="shared" ref="I43:I56" si="18">H43*2.87%</f>
        <v>6457.5</v>
      </c>
      <c r="J43" s="29">
        <f>187020*3.04%</f>
        <v>5685.4080000000004</v>
      </c>
      <c r="K43" s="29">
        <f t="shared" ref="K43:K56" si="19">H43-I43-J43</f>
        <v>212857.092</v>
      </c>
      <c r="L43" s="29">
        <v>41797.19</v>
      </c>
      <c r="M43" s="29"/>
      <c r="N43" s="84"/>
      <c r="O43" s="29">
        <v>25</v>
      </c>
      <c r="P43" s="84"/>
      <c r="Q43" s="89"/>
      <c r="R43" s="82">
        <f t="shared" ref="R43:R56" si="20">I43+J43+N334+L43+N43+O43+P43</f>
        <v>53965.097999999998</v>
      </c>
      <c r="S43" s="29">
        <f t="shared" ref="S43:S56" si="21">H43-R43</f>
        <v>171034.902</v>
      </c>
    </row>
    <row r="44" spans="1:19" ht="37.15" customHeight="1" thickBot="1" x14ac:dyDescent="0.5">
      <c r="A44" s="25">
        <v>24</v>
      </c>
      <c r="B44" s="32">
        <v>43872</v>
      </c>
      <c r="C44" s="32">
        <v>45296</v>
      </c>
      <c r="D44" s="26" t="s">
        <v>23</v>
      </c>
      <c r="E44" s="90" t="s">
        <v>158</v>
      </c>
      <c r="F44" s="86" t="s">
        <v>159</v>
      </c>
      <c r="G44" s="27" t="s">
        <v>105</v>
      </c>
      <c r="H44" s="29">
        <v>135000</v>
      </c>
      <c r="I44" s="29">
        <f t="shared" si="18"/>
        <v>3874.5</v>
      </c>
      <c r="J44" s="29">
        <f t="shared" ref="J44:J56" si="22">H44*3.04%</f>
        <v>4104</v>
      </c>
      <c r="K44" s="29">
        <f t="shared" si="19"/>
        <v>127021.5</v>
      </c>
      <c r="L44" s="29">
        <v>20338.189999999999</v>
      </c>
      <c r="M44" s="29"/>
      <c r="N44" s="84"/>
      <c r="O44" s="29">
        <v>25</v>
      </c>
      <c r="P44" s="84"/>
      <c r="Q44" s="89"/>
      <c r="R44" s="82">
        <f t="shared" si="20"/>
        <v>28341.69</v>
      </c>
      <c r="S44" s="29">
        <f t="shared" si="21"/>
        <v>106658.31</v>
      </c>
    </row>
    <row r="45" spans="1:19" ht="37.15" customHeight="1" thickBot="1" x14ac:dyDescent="0.5">
      <c r="A45" s="25">
        <v>25</v>
      </c>
      <c r="B45" s="26" t="s">
        <v>160</v>
      </c>
      <c r="C45" s="96">
        <v>45296</v>
      </c>
      <c r="D45" s="96" t="s">
        <v>29</v>
      </c>
      <c r="E45" s="90" t="s">
        <v>161</v>
      </c>
      <c r="F45" s="97" t="s">
        <v>162</v>
      </c>
      <c r="G45" s="27" t="s">
        <v>105</v>
      </c>
      <c r="H45" s="29">
        <v>95000</v>
      </c>
      <c r="I45" s="29">
        <f t="shared" si="18"/>
        <v>2726.5</v>
      </c>
      <c r="J45" s="29">
        <f t="shared" si="22"/>
        <v>2888</v>
      </c>
      <c r="K45" s="29">
        <f t="shared" si="19"/>
        <v>89385.5</v>
      </c>
      <c r="L45" s="29">
        <v>10929.24</v>
      </c>
      <c r="M45" s="29"/>
      <c r="N45" s="84"/>
      <c r="O45" s="29">
        <v>25</v>
      </c>
      <c r="P45" s="84"/>
      <c r="Q45" s="89"/>
      <c r="R45" s="82">
        <f t="shared" si="20"/>
        <v>16568.739999999998</v>
      </c>
      <c r="S45" s="29">
        <f t="shared" si="21"/>
        <v>78431.260000000009</v>
      </c>
    </row>
    <row r="46" spans="1:19" ht="37.15" customHeight="1" thickBot="1" x14ac:dyDescent="0.5">
      <c r="A46" s="25">
        <v>26</v>
      </c>
      <c r="B46" s="32">
        <v>44199</v>
      </c>
      <c r="C46" s="26">
        <v>45296</v>
      </c>
      <c r="D46" s="96" t="s">
        <v>29</v>
      </c>
      <c r="E46" s="90" t="s">
        <v>163</v>
      </c>
      <c r="F46" s="97" t="s">
        <v>164</v>
      </c>
      <c r="G46" s="27" t="s">
        <v>105</v>
      </c>
      <c r="H46" s="29">
        <v>85000</v>
      </c>
      <c r="I46" s="29">
        <f t="shared" si="18"/>
        <v>2439.5</v>
      </c>
      <c r="J46" s="29">
        <f t="shared" si="22"/>
        <v>2584</v>
      </c>
      <c r="K46" s="29">
        <f t="shared" si="19"/>
        <v>79976.5</v>
      </c>
      <c r="L46" s="29">
        <v>8182.63</v>
      </c>
      <c r="M46" s="29"/>
      <c r="N46" s="29">
        <v>1715.46</v>
      </c>
      <c r="O46" s="29">
        <v>25</v>
      </c>
      <c r="P46" s="84"/>
      <c r="Q46" s="89"/>
      <c r="R46" s="82">
        <f t="shared" si="20"/>
        <v>14946.59</v>
      </c>
      <c r="S46" s="29">
        <f t="shared" si="21"/>
        <v>70053.41</v>
      </c>
    </row>
    <row r="47" spans="1:19" ht="37.15" customHeight="1" thickBot="1" x14ac:dyDescent="0.45">
      <c r="A47" s="25">
        <v>27</v>
      </c>
      <c r="B47" s="32" t="s">
        <v>51</v>
      </c>
      <c r="C47" s="32">
        <v>45296</v>
      </c>
      <c r="D47" s="26" t="s">
        <v>29</v>
      </c>
      <c r="E47" s="90" t="s">
        <v>165</v>
      </c>
      <c r="F47" s="86" t="s">
        <v>166</v>
      </c>
      <c r="G47" s="27" t="s">
        <v>105</v>
      </c>
      <c r="H47" s="29">
        <v>65000</v>
      </c>
      <c r="I47" s="29">
        <f t="shared" si="18"/>
        <v>1865.5</v>
      </c>
      <c r="J47" s="29">
        <f t="shared" si="22"/>
        <v>1976</v>
      </c>
      <c r="K47" s="29">
        <f t="shared" si="19"/>
        <v>61158.5</v>
      </c>
      <c r="L47" s="29">
        <f>4427.58-M47</f>
        <v>4427.58</v>
      </c>
      <c r="M47" s="29">
        <v>0</v>
      </c>
      <c r="N47" s="84"/>
      <c r="O47" s="29">
        <v>25</v>
      </c>
      <c r="P47" s="29">
        <v>3026.29</v>
      </c>
      <c r="Q47" s="89"/>
      <c r="R47" s="82">
        <f t="shared" si="20"/>
        <v>11320.369999999999</v>
      </c>
      <c r="S47" s="29">
        <f t="shared" si="21"/>
        <v>53679.630000000005</v>
      </c>
    </row>
    <row r="48" spans="1:19" ht="37.15" customHeight="1" thickBot="1" x14ac:dyDescent="0.45">
      <c r="A48" s="25">
        <v>28</v>
      </c>
      <c r="B48" s="32">
        <v>44207</v>
      </c>
      <c r="C48" s="32">
        <v>45294</v>
      </c>
      <c r="D48" s="26" t="s">
        <v>29</v>
      </c>
      <c r="E48" s="90" t="s">
        <v>167</v>
      </c>
      <c r="F48" s="86" t="s">
        <v>162</v>
      </c>
      <c r="G48" s="27" t="s">
        <v>105</v>
      </c>
      <c r="H48" s="29">
        <v>70000</v>
      </c>
      <c r="I48" s="29">
        <f t="shared" si="18"/>
        <v>2009</v>
      </c>
      <c r="J48" s="29">
        <f t="shared" si="22"/>
        <v>2128</v>
      </c>
      <c r="K48" s="29">
        <f t="shared" si="19"/>
        <v>65863</v>
      </c>
      <c r="L48" s="29">
        <v>5368.45</v>
      </c>
      <c r="M48" s="29"/>
      <c r="N48" s="84"/>
      <c r="O48" s="29">
        <v>25</v>
      </c>
      <c r="P48" s="84"/>
      <c r="Q48" s="89"/>
      <c r="R48" s="82">
        <f t="shared" si="20"/>
        <v>9530.4500000000007</v>
      </c>
      <c r="S48" s="29">
        <f t="shared" si="21"/>
        <v>60469.55</v>
      </c>
    </row>
    <row r="49" spans="1:19" ht="37.15" customHeight="1" thickBot="1" x14ac:dyDescent="0.5">
      <c r="A49" s="25">
        <v>29</v>
      </c>
      <c r="B49" s="32">
        <v>44621</v>
      </c>
      <c r="C49" s="32">
        <v>45357</v>
      </c>
      <c r="D49" s="26" t="s">
        <v>23</v>
      </c>
      <c r="E49" s="90" t="s">
        <v>168</v>
      </c>
      <c r="F49" s="86" t="s">
        <v>169</v>
      </c>
      <c r="G49" s="27" t="s">
        <v>105</v>
      </c>
      <c r="H49" s="29">
        <v>72000</v>
      </c>
      <c r="I49" s="29">
        <f t="shared" si="18"/>
        <v>2066.4</v>
      </c>
      <c r="J49" s="29">
        <f t="shared" si="22"/>
        <v>2188.8000000000002</v>
      </c>
      <c r="K49" s="29">
        <f t="shared" si="19"/>
        <v>67744.800000000003</v>
      </c>
      <c r="L49" s="29">
        <f>5744.84-M49</f>
        <v>5744.84</v>
      </c>
      <c r="M49" s="29">
        <v>0</v>
      </c>
      <c r="N49" s="84"/>
      <c r="O49" s="29">
        <v>25</v>
      </c>
      <c r="P49" s="84"/>
      <c r="Q49" s="89"/>
      <c r="R49" s="82">
        <f t="shared" si="20"/>
        <v>10025.040000000001</v>
      </c>
      <c r="S49" s="29">
        <f t="shared" si="21"/>
        <v>61974.96</v>
      </c>
    </row>
    <row r="50" spans="1:19" ht="37.15" customHeight="1" thickBot="1" x14ac:dyDescent="0.45">
      <c r="A50" s="25">
        <v>30</v>
      </c>
      <c r="B50" s="32">
        <v>44621</v>
      </c>
      <c r="C50" s="32">
        <v>44997</v>
      </c>
      <c r="D50" s="26" t="s">
        <v>29</v>
      </c>
      <c r="E50" s="90" t="s">
        <v>170</v>
      </c>
      <c r="F50" s="86" t="s">
        <v>137</v>
      </c>
      <c r="G50" s="27" t="s">
        <v>105</v>
      </c>
      <c r="H50" s="29">
        <v>60000</v>
      </c>
      <c r="I50" s="29">
        <f t="shared" si="18"/>
        <v>1722</v>
      </c>
      <c r="J50" s="29">
        <f t="shared" si="22"/>
        <v>1824</v>
      </c>
      <c r="K50" s="29">
        <f t="shared" si="19"/>
        <v>56454</v>
      </c>
      <c r="L50" s="29">
        <f>3486.68-M50</f>
        <v>3486.68</v>
      </c>
      <c r="M50" s="29">
        <v>0</v>
      </c>
      <c r="N50" s="84"/>
      <c r="O50" s="29">
        <v>25</v>
      </c>
      <c r="P50" s="84"/>
      <c r="Q50" s="89"/>
      <c r="R50" s="82">
        <f t="shared" si="20"/>
        <v>7057.68</v>
      </c>
      <c r="S50" s="29">
        <f t="shared" si="21"/>
        <v>52942.32</v>
      </c>
    </row>
    <row r="51" spans="1:19" ht="37.15" customHeight="1" thickBot="1" x14ac:dyDescent="0.45">
      <c r="A51" s="25">
        <v>31</v>
      </c>
      <c r="B51" s="32">
        <v>44563</v>
      </c>
      <c r="C51" s="26">
        <v>45292</v>
      </c>
      <c r="D51" s="26" t="s">
        <v>29</v>
      </c>
      <c r="E51" s="90" t="s">
        <v>171</v>
      </c>
      <c r="F51" s="90" t="s">
        <v>137</v>
      </c>
      <c r="G51" s="27" t="s">
        <v>105</v>
      </c>
      <c r="H51" s="29">
        <v>55000</v>
      </c>
      <c r="I51" s="29">
        <f t="shared" si="18"/>
        <v>1578.5</v>
      </c>
      <c r="J51" s="29">
        <f t="shared" si="22"/>
        <v>1672</v>
      </c>
      <c r="K51" s="29">
        <f t="shared" si="19"/>
        <v>51749.5</v>
      </c>
      <c r="L51" s="29">
        <v>1962.13</v>
      </c>
      <c r="M51" s="29">
        <v>0</v>
      </c>
      <c r="N51" s="84"/>
      <c r="O51" s="29">
        <f>25+3831</f>
        <v>3856</v>
      </c>
      <c r="P51" s="84"/>
      <c r="Q51" s="89"/>
      <c r="R51" s="82">
        <f t="shared" si="20"/>
        <v>9068.630000000001</v>
      </c>
      <c r="S51" s="29">
        <f t="shared" si="21"/>
        <v>45931.369999999995</v>
      </c>
    </row>
    <row r="52" spans="1:19" ht="37.15" customHeight="1" thickBot="1" x14ac:dyDescent="0.45">
      <c r="A52" s="25">
        <v>32</v>
      </c>
      <c r="B52" s="26">
        <v>44564</v>
      </c>
      <c r="C52" s="39">
        <v>45297</v>
      </c>
      <c r="D52" s="26" t="s">
        <v>29</v>
      </c>
      <c r="E52" s="90" t="s">
        <v>172</v>
      </c>
      <c r="F52" s="90" t="s">
        <v>137</v>
      </c>
      <c r="G52" s="27" t="s">
        <v>105</v>
      </c>
      <c r="H52" s="29">
        <v>60000</v>
      </c>
      <c r="I52" s="29">
        <f t="shared" si="18"/>
        <v>1722</v>
      </c>
      <c r="J52" s="29">
        <f t="shared" si="22"/>
        <v>1824</v>
      </c>
      <c r="K52" s="29">
        <f t="shared" si="19"/>
        <v>56454</v>
      </c>
      <c r="L52" s="29">
        <v>3486.65</v>
      </c>
      <c r="M52" s="29"/>
      <c r="N52" s="84"/>
      <c r="O52" s="29">
        <v>25</v>
      </c>
      <c r="P52" s="84"/>
      <c r="Q52" s="89"/>
      <c r="R52" s="82">
        <f t="shared" si="20"/>
        <v>7057.65</v>
      </c>
      <c r="S52" s="29">
        <f t="shared" si="21"/>
        <v>52942.35</v>
      </c>
    </row>
    <row r="53" spans="1:19" ht="37.15" customHeight="1" thickBot="1" x14ac:dyDescent="0.45">
      <c r="A53" s="25">
        <v>33</v>
      </c>
      <c r="B53" s="26">
        <v>44564</v>
      </c>
      <c r="C53" s="39">
        <v>45297</v>
      </c>
      <c r="D53" s="26" t="s">
        <v>29</v>
      </c>
      <c r="E53" s="90" t="s">
        <v>173</v>
      </c>
      <c r="F53" s="90" t="s">
        <v>137</v>
      </c>
      <c r="G53" s="27" t="s">
        <v>105</v>
      </c>
      <c r="H53" s="29">
        <v>50000</v>
      </c>
      <c r="I53" s="29">
        <f t="shared" si="18"/>
        <v>1435</v>
      </c>
      <c r="J53" s="29">
        <f t="shared" si="22"/>
        <v>1520</v>
      </c>
      <c r="K53" s="29">
        <f t="shared" si="19"/>
        <v>47045</v>
      </c>
      <c r="L53" s="29">
        <v>1854</v>
      </c>
      <c r="M53" s="29">
        <v>0</v>
      </c>
      <c r="N53" s="84"/>
      <c r="O53" s="29">
        <f>25+10500</f>
        <v>10525</v>
      </c>
      <c r="P53" s="84"/>
      <c r="Q53" s="89"/>
      <c r="R53" s="82">
        <f t="shared" si="20"/>
        <v>15334</v>
      </c>
      <c r="S53" s="29">
        <f t="shared" si="21"/>
        <v>34666</v>
      </c>
    </row>
    <row r="54" spans="1:19" ht="37.15" customHeight="1" thickBot="1" x14ac:dyDescent="0.5">
      <c r="A54" s="25">
        <v>34</v>
      </c>
      <c r="B54" s="26">
        <v>44566</v>
      </c>
      <c r="C54" s="39">
        <v>45295</v>
      </c>
      <c r="D54" s="26" t="s">
        <v>29</v>
      </c>
      <c r="E54" s="90" t="s">
        <v>174</v>
      </c>
      <c r="F54" s="90" t="s">
        <v>162</v>
      </c>
      <c r="G54" s="27" t="s">
        <v>105</v>
      </c>
      <c r="H54" s="29">
        <v>72000</v>
      </c>
      <c r="I54" s="29">
        <f t="shared" si="18"/>
        <v>2066.4</v>
      </c>
      <c r="J54" s="29">
        <f t="shared" si="22"/>
        <v>2188.8000000000002</v>
      </c>
      <c r="K54" s="29">
        <f t="shared" si="19"/>
        <v>67744.800000000003</v>
      </c>
      <c r="L54" s="29">
        <v>5744.84</v>
      </c>
      <c r="M54" s="29"/>
      <c r="N54" s="84"/>
      <c r="O54" s="29">
        <v>25</v>
      </c>
      <c r="P54" s="84"/>
      <c r="Q54" s="89"/>
      <c r="R54" s="82">
        <f t="shared" si="20"/>
        <v>10025.040000000001</v>
      </c>
      <c r="S54" s="29">
        <f t="shared" si="21"/>
        <v>61974.96</v>
      </c>
    </row>
    <row r="55" spans="1:19" ht="37.15" customHeight="1" thickBot="1" x14ac:dyDescent="0.45">
      <c r="A55" s="25">
        <v>35</v>
      </c>
      <c r="B55" s="26">
        <v>44621</v>
      </c>
      <c r="C55" s="39">
        <v>45357</v>
      </c>
      <c r="D55" s="26" t="s">
        <v>23</v>
      </c>
      <c r="E55" s="50" t="s">
        <v>175</v>
      </c>
      <c r="F55" s="90" t="s">
        <v>176</v>
      </c>
      <c r="G55" s="27" t="s">
        <v>105</v>
      </c>
      <c r="H55" s="29">
        <v>53000</v>
      </c>
      <c r="I55" s="29">
        <f t="shared" si="18"/>
        <v>1521.1</v>
      </c>
      <c r="J55" s="29">
        <f t="shared" si="22"/>
        <v>1611.2</v>
      </c>
      <c r="K55" s="29">
        <f t="shared" si="19"/>
        <v>49867.700000000004</v>
      </c>
      <c r="L55" s="29">
        <v>2277.4</v>
      </c>
      <c r="M55" s="29"/>
      <c r="N55" s="84"/>
      <c r="O55" s="29">
        <f>25+12025</f>
        <v>12050</v>
      </c>
      <c r="P55" s="84"/>
      <c r="Q55" s="89"/>
      <c r="R55" s="82">
        <f t="shared" si="20"/>
        <v>17459.7</v>
      </c>
      <c r="S55" s="29">
        <f t="shared" si="21"/>
        <v>35540.300000000003</v>
      </c>
    </row>
    <row r="56" spans="1:19" ht="37.15" customHeight="1" thickBot="1" x14ac:dyDescent="0.45">
      <c r="A56" s="25">
        <v>36</v>
      </c>
      <c r="B56" s="26">
        <v>44936</v>
      </c>
      <c r="C56" s="39">
        <v>45295</v>
      </c>
      <c r="D56" s="26" t="s">
        <v>29</v>
      </c>
      <c r="E56" s="50" t="s">
        <v>177</v>
      </c>
      <c r="F56" s="90" t="s">
        <v>178</v>
      </c>
      <c r="G56" s="27" t="s">
        <v>105</v>
      </c>
      <c r="H56" s="29">
        <v>72000</v>
      </c>
      <c r="I56" s="29">
        <f t="shared" si="18"/>
        <v>2066.4</v>
      </c>
      <c r="J56" s="29">
        <f t="shared" si="22"/>
        <v>2188.8000000000002</v>
      </c>
      <c r="K56" s="29">
        <f t="shared" si="19"/>
        <v>67744.800000000003</v>
      </c>
      <c r="L56" s="29">
        <v>5744.84</v>
      </c>
      <c r="M56" s="29"/>
      <c r="N56" s="84"/>
      <c r="O56" s="29">
        <v>25</v>
      </c>
      <c r="P56" s="84"/>
      <c r="Q56" s="89"/>
      <c r="R56" s="82">
        <f t="shared" si="20"/>
        <v>10025.040000000001</v>
      </c>
      <c r="S56" s="29">
        <f t="shared" si="21"/>
        <v>61974.96</v>
      </c>
    </row>
    <row r="57" spans="1:19" ht="40.15" customHeight="1" thickBot="1" x14ac:dyDescent="0.5">
      <c r="A57" s="25"/>
      <c r="B57" s="148" t="s">
        <v>123</v>
      </c>
      <c r="C57" s="149"/>
      <c r="D57" s="149"/>
      <c r="E57" s="149"/>
      <c r="F57" s="150"/>
      <c r="G57" s="98"/>
      <c r="H57" s="85">
        <f>H43+H44+H45+H47+H46+H48+H49+H50+H51+H52+H53+H54+H55+H56</f>
        <v>1169000</v>
      </c>
      <c r="I57" s="85">
        <f t="shared" ref="I57:S57" si="23">I43+I44+I45+I47+I46+I48+I49+I50+I51+I52+I53+I54+I55+I56</f>
        <v>33550.300000000003</v>
      </c>
      <c r="J57" s="85">
        <f t="shared" si="23"/>
        <v>34383.008000000002</v>
      </c>
      <c r="K57" s="85">
        <f t="shared" si="23"/>
        <v>1101066.692</v>
      </c>
      <c r="L57" s="85">
        <f t="shared" si="23"/>
        <v>121344.65999999999</v>
      </c>
      <c r="M57" s="85">
        <f t="shared" si="23"/>
        <v>0</v>
      </c>
      <c r="N57" s="85">
        <f t="shared" si="23"/>
        <v>1715.46</v>
      </c>
      <c r="O57" s="85">
        <f t="shared" si="23"/>
        <v>26706</v>
      </c>
      <c r="P57" s="85">
        <f t="shared" si="23"/>
        <v>3026.29</v>
      </c>
      <c r="Q57" s="85">
        <f t="shared" si="23"/>
        <v>0</v>
      </c>
      <c r="R57" s="85">
        <f t="shared" si="23"/>
        <v>220725.71800000002</v>
      </c>
      <c r="S57" s="85">
        <f t="shared" si="23"/>
        <v>948274.28199999989</v>
      </c>
    </row>
    <row r="58" spans="1:19" ht="48.6" customHeight="1" thickBot="1" x14ac:dyDescent="0.5">
      <c r="A58" s="25"/>
      <c r="B58" s="157" t="s">
        <v>179</v>
      </c>
      <c r="C58" s="158"/>
      <c r="D58" s="158"/>
      <c r="E58" s="159"/>
      <c r="F58" s="35"/>
      <c r="G58" s="98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84"/>
      <c r="S58" s="84"/>
    </row>
    <row r="59" spans="1:19" ht="40.15" customHeight="1" thickBot="1" x14ac:dyDescent="0.5">
      <c r="A59" s="25">
        <v>37</v>
      </c>
      <c r="B59" s="26">
        <v>44198</v>
      </c>
      <c r="C59" s="26">
        <v>45292</v>
      </c>
      <c r="D59" s="26" t="s">
        <v>29</v>
      </c>
      <c r="E59" s="90" t="s">
        <v>180</v>
      </c>
      <c r="F59" s="86" t="s">
        <v>181</v>
      </c>
      <c r="G59" s="100" t="s">
        <v>105</v>
      </c>
      <c r="H59" s="29">
        <v>150000</v>
      </c>
      <c r="I59" s="29">
        <f>H59*2.87%</f>
        <v>4305</v>
      </c>
      <c r="J59" s="82">
        <f>H59*3.04%</f>
        <v>4560</v>
      </c>
      <c r="K59" s="29">
        <f>H59-I59-J59</f>
        <v>141135</v>
      </c>
      <c r="L59" s="41">
        <v>23866.69</v>
      </c>
      <c r="M59" s="29"/>
      <c r="N59" s="29"/>
      <c r="O59" s="29">
        <v>25</v>
      </c>
      <c r="P59" s="29"/>
      <c r="Q59" s="82">
        <v>0</v>
      </c>
      <c r="R59" s="82">
        <f>I59+J59+L59+N59+O59+P59-Q59</f>
        <v>32756.69</v>
      </c>
      <c r="S59" s="29">
        <f>H59-R59</f>
        <v>117243.31</v>
      </c>
    </row>
    <row r="60" spans="1:19" ht="40.15" customHeight="1" thickBot="1" x14ac:dyDescent="0.5">
      <c r="A60" s="25">
        <v>38</v>
      </c>
      <c r="B60" s="26">
        <v>44199</v>
      </c>
      <c r="C60" s="26">
        <v>45292</v>
      </c>
      <c r="D60" s="26" t="s">
        <v>29</v>
      </c>
      <c r="E60" s="90" t="s">
        <v>182</v>
      </c>
      <c r="F60" s="90" t="s">
        <v>183</v>
      </c>
      <c r="G60" s="100" t="s">
        <v>105</v>
      </c>
      <c r="H60" s="29">
        <v>80000</v>
      </c>
      <c r="I60" s="29">
        <f>H60*2.87%</f>
        <v>2296</v>
      </c>
      <c r="J60" s="82">
        <f>H60*3.04%</f>
        <v>2432</v>
      </c>
      <c r="K60" s="29">
        <f>H60-I60-J60</f>
        <v>75272</v>
      </c>
      <c r="L60" s="29">
        <v>7400.87</v>
      </c>
      <c r="M60" s="29">
        <v>0</v>
      </c>
      <c r="N60" s="29">
        <v>0</v>
      </c>
      <c r="O60" s="29">
        <v>25</v>
      </c>
      <c r="P60" s="29">
        <v>3026.29</v>
      </c>
      <c r="Q60" s="82"/>
      <c r="R60" s="82">
        <f>I60+J60+L60+N60+O60+P60</f>
        <v>15180.16</v>
      </c>
      <c r="S60" s="29">
        <f>H60-R60</f>
        <v>64819.839999999997</v>
      </c>
    </row>
    <row r="61" spans="1:19" ht="40.15" customHeight="1" thickBot="1" x14ac:dyDescent="0.5">
      <c r="A61" s="25">
        <v>39</v>
      </c>
      <c r="B61" s="26" t="s">
        <v>22</v>
      </c>
      <c r="C61" s="26">
        <v>45292</v>
      </c>
      <c r="D61" s="26" t="s">
        <v>29</v>
      </c>
      <c r="E61" s="90" t="s">
        <v>184</v>
      </c>
      <c r="F61" s="90" t="s">
        <v>183</v>
      </c>
      <c r="G61" s="100" t="s">
        <v>105</v>
      </c>
      <c r="H61" s="29">
        <v>95000</v>
      </c>
      <c r="I61" s="29">
        <f>H61*2.87%</f>
        <v>2726.5</v>
      </c>
      <c r="J61" s="82">
        <f>H61*3.04%</f>
        <v>2888</v>
      </c>
      <c r="K61" s="29">
        <f>H61-I61-J61</f>
        <v>89385.5</v>
      </c>
      <c r="L61" s="29">
        <v>10534.88</v>
      </c>
      <c r="M61" s="29"/>
      <c r="N61" s="29">
        <v>1715.46</v>
      </c>
      <c r="O61" s="29">
        <v>25</v>
      </c>
      <c r="P61" s="29">
        <v>3026.29</v>
      </c>
      <c r="Q61" s="82"/>
      <c r="R61" s="82">
        <f>I61+J61+L61+N61+O61+P61</f>
        <v>20916.13</v>
      </c>
      <c r="S61" s="29">
        <f>H61-R61</f>
        <v>74083.87</v>
      </c>
    </row>
    <row r="62" spans="1:19" ht="48.6" customHeight="1" thickBot="1" x14ac:dyDescent="0.5">
      <c r="A62" s="25"/>
      <c r="B62" s="148" t="s">
        <v>123</v>
      </c>
      <c r="C62" s="149"/>
      <c r="D62" s="149"/>
      <c r="E62" s="149"/>
      <c r="F62" s="150"/>
      <c r="G62" s="40"/>
      <c r="H62" s="85">
        <f>H59+H60+H61</f>
        <v>325000</v>
      </c>
      <c r="I62" s="85">
        <f t="shared" ref="I62:S62" si="24">I59+I60+I61</f>
        <v>9327.5</v>
      </c>
      <c r="J62" s="85">
        <f t="shared" si="24"/>
        <v>9880</v>
      </c>
      <c r="K62" s="85">
        <f t="shared" si="24"/>
        <v>305792.5</v>
      </c>
      <c r="L62" s="85">
        <f t="shared" si="24"/>
        <v>41802.439999999995</v>
      </c>
      <c r="M62" s="85">
        <f t="shared" si="24"/>
        <v>0</v>
      </c>
      <c r="N62" s="85">
        <f t="shared" si="24"/>
        <v>1715.46</v>
      </c>
      <c r="O62" s="85">
        <f t="shared" si="24"/>
        <v>75</v>
      </c>
      <c r="P62" s="85">
        <f t="shared" si="24"/>
        <v>6052.58</v>
      </c>
      <c r="Q62" s="85">
        <f t="shared" si="24"/>
        <v>0</v>
      </c>
      <c r="R62" s="85">
        <f t="shared" si="24"/>
        <v>68852.98</v>
      </c>
      <c r="S62" s="85">
        <f t="shared" si="24"/>
        <v>256147.02</v>
      </c>
    </row>
    <row r="63" spans="1:19" ht="48.6" customHeight="1" thickBot="1" x14ac:dyDescent="0.45">
      <c r="A63" s="101"/>
      <c r="B63" s="157" t="s">
        <v>185</v>
      </c>
      <c r="C63" s="158"/>
      <c r="D63" s="158"/>
      <c r="E63" s="158"/>
      <c r="F63" s="35"/>
      <c r="G63" s="102"/>
      <c r="H63" s="84"/>
      <c r="I63" s="84"/>
      <c r="J63" s="84"/>
      <c r="K63" s="84"/>
      <c r="L63" s="84"/>
      <c r="M63" s="84"/>
      <c r="N63" s="84"/>
      <c r="O63" s="84"/>
      <c r="P63" s="84"/>
      <c r="Q63" s="89"/>
      <c r="R63" s="89"/>
      <c r="S63" s="84"/>
    </row>
    <row r="64" spans="1:19" ht="36.6" customHeight="1" thickBot="1" x14ac:dyDescent="0.45">
      <c r="A64" s="101">
        <v>40</v>
      </c>
      <c r="B64" s="32" t="s">
        <v>186</v>
      </c>
      <c r="C64" s="32">
        <v>45292</v>
      </c>
      <c r="D64" s="26" t="s">
        <v>23</v>
      </c>
      <c r="E64" s="90" t="s">
        <v>187</v>
      </c>
      <c r="F64" s="86" t="s">
        <v>188</v>
      </c>
      <c r="G64" s="103" t="s">
        <v>105</v>
      </c>
      <c r="H64" s="29">
        <v>95000</v>
      </c>
      <c r="I64" s="29">
        <f>H64*2.87%</f>
        <v>2726.5</v>
      </c>
      <c r="J64" s="29">
        <f>H64*3.04%</f>
        <v>2888</v>
      </c>
      <c r="K64" s="29">
        <v>89385.5</v>
      </c>
      <c r="L64" s="29">
        <v>10929.24</v>
      </c>
      <c r="M64" s="29"/>
      <c r="N64" s="29"/>
      <c r="O64" s="29">
        <v>25</v>
      </c>
      <c r="P64" s="29"/>
      <c r="Q64" s="29"/>
      <c r="R64" s="29">
        <f>I64+J64+L64+N64+O64+P64</f>
        <v>16568.739999999998</v>
      </c>
      <c r="S64" s="29">
        <f>H64-R64</f>
        <v>78431.260000000009</v>
      </c>
    </row>
    <row r="65" spans="1:19" ht="36.6" customHeight="1" thickBot="1" x14ac:dyDescent="0.5">
      <c r="A65" s="101"/>
      <c r="B65" s="148" t="s">
        <v>38</v>
      </c>
      <c r="C65" s="149"/>
      <c r="D65" s="149"/>
      <c r="E65" s="149"/>
      <c r="F65" s="150"/>
      <c r="G65" s="102"/>
      <c r="H65" s="85">
        <f>H64</f>
        <v>95000</v>
      </c>
      <c r="I65" s="85">
        <f>I64</f>
        <v>2726.5</v>
      </c>
      <c r="J65" s="85">
        <f t="shared" ref="J65:Q65" si="25">J64</f>
        <v>2888</v>
      </c>
      <c r="K65" s="85">
        <f t="shared" si="25"/>
        <v>89385.5</v>
      </c>
      <c r="L65" s="85">
        <f>L64</f>
        <v>10929.24</v>
      </c>
      <c r="M65" s="85"/>
      <c r="N65" s="85">
        <f t="shared" si="25"/>
        <v>0</v>
      </c>
      <c r="O65" s="85">
        <f t="shared" si="25"/>
        <v>25</v>
      </c>
      <c r="P65" s="85">
        <f t="shared" si="25"/>
        <v>0</v>
      </c>
      <c r="Q65" s="85">
        <f t="shared" si="25"/>
        <v>0</v>
      </c>
      <c r="R65" s="85">
        <f>R64</f>
        <v>16568.739999999998</v>
      </c>
      <c r="S65" s="85">
        <f>S64</f>
        <v>78431.260000000009</v>
      </c>
    </row>
    <row r="66" spans="1:19" s="105" customFormat="1" ht="48.6" customHeight="1" thickBot="1" x14ac:dyDescent="0.45">
      <c r="A66" s="104"/>
      <c r="B66" s="157" t="s">
        <v>189</v>
      </c>
      <c r="C66" s="158"/>
      <c r="D66" s="158"/>
      <c r="E66" s="159"/>
      <c r="G66" s="106"/>
      <c r="H66" s="106"/>
      <c r="I66" s="106"/>
      <c r="J66" s="106"/>
      <c r="K66" s="106"/>
      <c r="L66" s="106"/>
      <c r="M66" s="107"/>
      <c r="N66" s="106"/>
      <c r="O66" s="106"/>
      <c r="P66" s="106"/>
      <c r="Q66" s="106"/>
      <c r="R66" s="106"/>
      <c r="S66" s="108"/>
    </row>
    <row r="67" spans="1:19" s="105" customFormat="1" ht="37.15" customHeight="1" thickBot="1" x14ac:dyDescent="0.45">
      <c r="A67" s="25">
        <v>41</v>
      </c>
      <c r="B67" s="32">
        <v>44198</v>
      </c>
      <c r="C67" s="32">
        <v>45292</v>
      </c>
      <c r="D67" s="26" t="s">
        <v>23</v>
      </c>
      <c r="E67" s="90" t="s">
        <v>190</v>
      </c>
      <c r="F67" s="86" t="s">
        <v>191</v>
      </c>
      <c r="G67" s="103" t="s">
        <v>105</v>
      </c>
      <c r="H67" s="29">
        <v>115000</v>
      </c>
      <c r="I67" s="29">
        <f>H67*2.87%</f>
        <v>3300.5</v>
      </c>
      <c r="J67" s="82">
        <f>H67*3.04%</f>
        <v>3496</v>
      </c>
      <c r="K67" s="29">
        <f>H67-I67-J67</f>
        <v>108203.5</v>
      </c>
      <c r="L67" s="41">
        <v>15633.74</v>
      </c>
      <c r="M67" s="29"/>
      <c r="N67" s="109"/>
      <c r="O67" s="29">
        <v>25</v>
      </c>
      <c r="P67" s="29">
        <v>10195.77</v>
      </c>
      <c r="Q67" s="82"/>
      <c r="R67" s="82">
        <f>I67+J67+L67+N67+O67+P67</f>
        <v>32651.01</v>
      </c>
      <c r="S67" s="29">
        <f>H67-R67</f>
        <v>82348.990000000005</v>
      </c>
    </row>
    <row r="68" spans="1:19" s="107" customFormat="1" ht="37.15" customHeight="1" thickBot="1" x14ac:dyDescent="0.45">
      <c r="A68" s="25">
        <v>42</v>
      </c>
      <c r="B68" s="32">
        <v>44198</v>
      </c>
      <c r="C68" s="32">
        <v>45292</v>
      </c>
      <c r="D68" s="26" t="s">
        <v>29</v>
      </c>
      <c r="E68" s="90" t="s">
        <v>192</v>
      </c>
      <c r="F68" s="86" t="s">
        <v>137</v>
      </c>
      <c r="G68" s="103" t="s">
        <v>105</v>
      </c>
      <c r="H68" s="29">
        <v>60000</v>
      </c>
      <c r="I68" s="29">
        <f>H68*2.87%</f>
        <v>1722</v>
      </c>
      <c r="J68" s="82">
        <f>H68*3.04%</f>
        <v>1824</v>
      </c>
      <c r="K68" s="29">
        <f>H68-I68-J68</f>
        <v>56454</v>
      </c>
      <c r="L68" s="41">
        <f>3486.65-M68</f>
        <v>3486.65</v>
      </c>
      <c r="M68" s="48">
        <v>0</v>
      </c>
      <c r="N68" s="109"/>
      <c r="O68" s="29">
        <v>25</v>
      </c>
      <c r="P68" s="29"/>
      <c r="Q68" s="82"/>
      <c r="R68" s="82">
        <f>I68+J68+L68+N68+O68+P68</f>
        <v>7057.65</v>
      </c>
      <c r="S68" s="29">
        <f>H68-R68</f>
        <v>52942.35</v>
      </c>
    </row>
    <row r="69" spans="1:19" s="107" customFormat="1" ht="48.6" customHeight="1" thickBot="1" x14ac:dyDescent="0.5">
      <c r="A69" s="105"/>
      <c r="B69" s="148" t="s">
        <v>38</v>
      </c>
      <c r="C69" s="149"/>
      <c r="D69" s="149"/>
      <c r="E69" s="149"/>
      <c r="F69" s="150"/>
      <c r="G69" s="110"/>
      <c r="H69" s="85">
        <f>H67+H68</f>
        <v>175000</v>
      </c>
      <c r="I69" s="85">
        <f t="shared" ref="I69:S69" si="26">I67+I68</f>
        <v>5022.5</v>
      </c>
      <c r="J69" s="85">
        <f t="shared" si="26"/>
        <v>5320</v>
      </c>
      <c r="K69" s="85">
        <f t="shared" si="26"/>
        <v>164657.5</v>
      </c>
      <c r="L69" s="85">
        <f t="shared" si="26"/>
        <v>19120.39</v>
      </c>
      <c r="M69" s="85">
        <f t="shared" si="26"/>
        <v>0</v>
      </c>
      <c r="N69" s="85">
        <f t="shared" si="26"/>
        <v>0</v>
      </c>
      <c r="O69" s="85">
        <f t="shared" si="26"/>
        <v>50</v>
      </c>
      <c r="P69" s="85">
        <f t="shared" si="26"/>
        <v>10195.77</v>
      </c>
      <c r="Q69" s="85">
        <f t="shared" si="26"/>
        <v>0</v>
      </c>
      <c r="R69" s="85">
        <f t="shared" si="26"/>
        <v>39708.659999999996</v>
      </c>
      <c r="S69" s="85">
        <f t="shared" si="26"/>
        <v>135291.34</v>
      </c>
    </row>
    <row r="70" spans="1:19" ht="48.6" customHeight="1" thickBot="1" x14ac:dyDescent="0.45">
      <c r="A70" s="25"/>
      <c r="B70" s="158" t="s">
        <v>193</v>
      </c>
      <c r="C70" s="158"/>
      <c r="D70" s="158"/>
      <c r="E70" s="158"/>
      <c r="F70" s="111"/>
      <c r="G70" s="40"/>
      <c r="H70" s="29"/>
      <c r="I70" s="29"/>
      <c r="J70" s="29"/>
      <c r="K70" s="29"/>
      <c r="L70" s="29"/>
      <c r="M70" s="29"/>
      <c r="N70" s="29"/>
      <c r="O70" s="29"/>
      <c r="P70" s="29"/>
      <c r="Q70" s="82"/>
      <c r="R70" s="82"/>
      <c r="S70" s="29"/>
    </row>
    <row r="71" spans="1:19" ht="35.450000000000003" customHeight="1" thickBot="1" x14ac:dyDescent="0.45">
      <c r="A71" s="25">
        <v>42</v>
      </c>
      <c r="B71" s="26">
        <v>44534</v>
      </c>
      <c r="C71" s="26">
        <v>45627</v>
      </c>
      <c r="D71" s="26" t="s">
        <v>23</v>
      </c>
      <c r="E71" s="90" t="s">
        <v>194</v>
      </c>
      <c r="F71" s="90" t="s">
        <v>195</v>
      </c>
      <c r="G71" s="39" t="s">
        <v>105</v>
      </c>
      <c r="H71" s="29">
        <v>140000</v>
      </c>
      <c r="I71" s="29">
        <f>H71*2.87%</f>
        <v>4018</v>
      </c>
      <c r="J71" s="29">
        <f>H71*3.04%</f>
        <v>4256</v>
      </c>
      <c r="K71" s="29">
        <v>84681</v>
      </c>
      <c r="L71" s="29">
        <v>21514.37</v>
      </c>
      <c r="M71" s="29"/>
      <c r="N71" s="29">
        <v>0</v>
      </c>
      <c r="O71" s="29">
        <v>25</v>
      </c>
      <c r="P71" s="84"/>
      <c r="Q71" s="82">
        <v>0</v>
      </c>
      <c r="R71" s="82">
        <f>I71+J71+L71+N71+O71+P71-Q71</f>
        <v>29813.37</v>
      </c>
      <c r="S71" s="29">
        <f>H71-R71</f>
        <v>110186.63</v>
      </c>
    </row>
    <row r="72" spans="1:19" ht="36.6" customHeight="1" thickBot="1" x14ac:dyDescent="0.45">
      <c r="A72" s="25">
        <v>43</v>
      </c>
      <c r="B72" s="26" t="s">
        <v>196</v>
      </c>
      <c r="C72" s="26" t="s">
        <v>197</v>
      </c>
      <c r="D72" s="26" t="s">
        <v>23</v>
      </c>
      <c r="E72" s="90" t="s">
        <v>198</v>
      </c>
      <c r="F72" s="90" t="s">
        <v>199</v>
      </c>
      <c r="G72" s="39" t="s">
        <v>105</v>
      </c>
      <c r="H72" s="29">
        <v>90000</v>
      </c>
      <c r="I72" s="29">
        <f>H72*2.87%</f>
        <v>2583</v>
      </c>
      <c r="J72" s="29">
        <f>H72*3.04%</f>
        <v>2736</v>
      </c>
      <c r="K72" s="29">
        <f>H72-I72-J72</f>
        <v>84681</v>
      </c>
      <c r="L72" s="29">
        <v>8964.39</v>
      </c>
      <c r="M72" s="29"/>
      <c r="N72" s="29">
        <f>1715.45*2</f>
        <v>3430.9</v>
      </c>
      <c r="O72" s="29">
        <v>25</v>
      </c>
      <c r="P72" s="84"/>
      <c r="Q72" s="89"/>
      <c r="R72" s="82">
        <f>I72+J72+L72+N72+O72+P72</f>
        <v>17739.29</v>
      </c>
      <c r="S72" s="29">
        <f>H72-R72</f>
        <v>72260.709999999992</v>
      </c>
    </row>
    <row r="73" spans="1:19" ht="36.6" customHeight="1" thickBot="1" x14ac:dyDescent="0.45">
      <c r="A73" s="25">
        <v>44</v>
      </c>
      <c r="B73" s="26">
        <v>44564</v>
      </c>
      <c r="C73" s="26">
        <v>45297</v>
      </c>
      <c r="D73" s="26" t="s">
        <v>23</v>
      </c>
      <c r="E73" s="90" t="s">
        <v>200</v>
      </c>
      <c r="F73" s="90" t="s">
        <v>201</v>
      </c>
      <c r="G73" s="39" t="s">
        <v>105</v>
      </c>
      <c r="H73" s="29">
        <v>50000</v>
      </c>
      <c r="I73" s="29">
        <f>H73*2.87%</f>
        <v>1435</v>
      </c>
      <c r="J73" s="29">
        <f>H73*3.04%</f>
        <v>1520</v>
      </c>
      <c r="K73" s="29">
        <f>H73-I73-J73</f>
        <v>47045</v>
      </c>
      <c r="L73" s="29">
        <v>1854</v>
      </c>
      <c r="M73" s="29">
        <v>0</v>
      </c>
      <c r="N73" s="29">
        <v>0</v>
      </c>
      <c r="O73" s="29">
        <v>25</v>
      </c>
      <c r="P73" s="84"/>
      <c r="Q73" s="89"/>
      <c r="R73" s="82">
        <f>I73+J73+L73+N73+O73+P73</f>
        <v>4834</v>
      </c>
      <c r="S73" s="29">
        <f>H73-R73</f>
        <v>45166</v>
      </c>
    </row>
    <row r="74" spans="1:19" ht="36.6" customHeight="1" thickBot="1" x14ac:dyDescent="0.5">
      <c r="A74" s="25">
        <v>45</v>
      </c>
      <c r="B74" s="26">
        <v>44565</v>
      </c>
      <c r="C74" s="26">
        <v>45294</v>
      </c>
      <c r="D74" s="26" t="s">
        <v>23</v>
      </c>
      <c r="E74" s="90" t="s">
        <v>202</v>
      </c>
      <c r="F74" s="90" t="s">
        <v>203</v>
      </c>
      <c r="G74" s="39" t="s">
        <v>105</v>
      </c>
      <c r="H74" s="29">
        <v>75000</v>
      </c>
      <c r="I74" s="29">
        <f>H74*2.87%</f>
        <v>2152.5</v>
      </c>
      <c r="J74" s="29">
        <f>H74*3.04%</f>
        <v>2280</v>
      </c>
      <c r="K74" s="29">
        <f>H74-I74-J74</f>
        <v>70567.5</v>
      </c>
      <c r="L74" s="29">
        <v>6309.3879999999999</v>
      </c>
      <c r="M74" s="29"/>
      <c r="N74" s="29">
        <v>0</v>
      </c>
      <c r="O74" s="29">
        <v>25</v>
      </c>
      <c r="P74" s="84"/>
      <c r="Q74" s="89"/>
      <c r="R74" s="82">
        <f>I74+J74+L74+N74+O74+P74</f>
        <v>10766.887999999999</v>
      </c>
      <c r="S74" s="29">
        <f>H74-R74</f>
        <v>64233.112000000001</v>
      </c>
    </row>
    <row r="75" spans="1:19" ht="48.6" customHeight="1" thickBot="1" x14ac:dyDescent="0.5">
      <c r="A75" s="111"/>
      <c r="B75" s="148" t="s">
        <v>123</v>
      </c>
      <c r="C75" s="149"/>
      <c r="D75" s="149"/>
      <c r="E75" s="149"/>
      <c r="F75" s="150"/>
      <c r="G75" s="34"/>
      <c r="H75" s="85">
        <f>H71+H72+H73+H74</f>
        <v>355000</v>
      </c>
      <c r="I75" s="85">
        <f t="shared" ref="I75:S75" si="27">I71+I72+I73+I74</f>
        <v>10188.5</v>
      </c>
      <c r="J75" s="85">
        <f t="shared" si="27"/>
        <v>10792</v>
      </c>
      <c r="K75" s="85">
        <f t="shared" si="27"/>
        <v>286974.5</v>
      </c>
      <c r="L75" s="85">
        <f t="shared" si="27"/>
        <v>38642.148000000001</v>
      </c>
      <c r="M75" s="85">
        <f t="shared" si="27"/>
        <v>0</v>
      </c>
      <c r="N75" s="85">
        <f t="shared" si="27"/>
        <v>3430.9</v>
      </c>
      <c r="O75" s="85">
        <f t="shared" si="27"/>
        <v>100</v>
      </c>
      <c r="P75" s="85">
        <f t="shared" si="27"/>
        <v>0</v>
      </c>
      <c r="Q75" s="85">
        <f t="shared" si="27"/>
        <v>0</v>
      </c>
      <c r="R75" s="85">
        <f t="shared" si="27"/>
        <v>63153.548000000003</v>
      </c>
      <c r="S75" s="85">
        <f t="shared" si="27"/>
        <v>291846.45199999999</v>
      </c>
    </row>
    <row r="76" spans="1:19" ht="48.6" customHeight="1" thickBot="1" x14ac:dyDescent="0.45">
      <c r="A76" s="111"/>
      <c r="B76" s="157" t="s">
        <v>204</v>
      </c>
      <c r="C76" s="168"/>
      <c r="D76" s="158"/>
      <c r="E76" s="159"/>
      <c r="F76" s="111"/>
      <c r="G76" s="34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84"/>
    </row>
    <row r="77" spans="1:19" ht="48" customHeight="1" thickBot="1" x14ac:dyDescent="0.45">
      <c r="A77" s="25">
        <v>46</v>
      </c>
      <c r="B77" s="32" t="s">
        <v>125</v>
      </c>
      <c r="C77" s="26">
        <v>45627</v>
      </c>
      <c r="D77" s="39" t="s">
        <v>29</v>
      </c>
      <c r="E77" s="90" t="s">
        <v>205</v>
      </c>
      <c r="F77" s="112" t="s">
        <v>206</v>
      </c>
      <c r="G77" s="39" t="s">
        <v>105</v>
      </c>
      <c r="H77" s="29">
        <v>235000</v>
      </c>
      <c r="I77" s="29">
        <f>H77*2.87%</f>
        <v>6744.5</v>
      </c>
      <c r="J77" s="29">
        <f>187020*3.04%</f>
        <v>5685.4080000000004</v>
      </c>
      <c r="K77" s="29">
        <f>H77-I77-J77</f>
        <v>222570.092</v>
      </c>
      <c r="L77" s="29">
        <v>44225.38</v>
      </c>
      <c r="M77" s="41"/>
      <c r="N77" s="84"/>
      <c r="O77" s="29">
        <v>25</v>
      </c>
      <c r="P77" s="99"/>
      <c r="Q77" s="84"/>
      <c r="R77" s="82">
        <f>I77+J77+L77+N77+O77+P77</f>
        <v>56680.288</v>
      </c>
      <c r="S77" s="29">
        <f>H77-R77</f>
        <v>178319.712</v>
      </c>
    </row>
    <row r="78" spans="1:19" ht="48.6" customHeight="1" thickBot="1" x14ac:dyDescent="0.45">
      <c r="A78" s="25">
        <v>47</v>
      </c>
      <c r="B78" s="32">
        <v>44936</v>
      </c>
      <c r="C78" s="26">
        <v>45295</v>
      </c>
      <c r="D78" s="39" t="s">
        <v>29</v>
      </c>
      <c r="E78" s="90" t="s">
        <v>207</v>
      </c>
      <c r="F78" s="112" t="s">
        <v>208</v>
      </c>
      <c r="G78" s="39" t="s">
        <v>105</v>
      </c>
      <c r="H78" s="29">
        <v>80000</v>
      </c>
      <c r="I78" s="29">
        <f>H78*2.87%</f>
        <v>2296</v>
      </c>
      <c r="J78" s="29">
        <f>H78*3.04%</f>
        <v>2432</v>
      </c>
      <c r="K78" s="29">
        <v>61158.5</v>
      </c>
      <c r="L78" s="29">
        <f>7400.87-M78</f>
        <v>7400.87</v>
      </c>
      <c r="M78" s="41">
        <v>0</v>
      </c>
      <c r="N78" s="84"/>
      <c r="O78" s="29">
        <v>25</v>
      </c>
      <c r="P78" s="99"/>
      <c r="Q78" s="84"/>
      <c r="R78" s="82">
        <f>I78+J78+L78+N78+O78+P78</f>
        <v>12153.869999999999</v>
      </c>
      <c r="S78" s="29">
        <f>H78-R78</f>
        <v>67846.13</v>
      </c>
    </row>
    <row r="79" spans="1:19" ht="48.6" customHeight="1" thickBot="1" x14ac:dyDescent="0.5">
      <c r="A79" s="25">
        <v>48</v>
      </c>
      <c r="B79" s="32">
        <v>44572</v>
      </c>
      <c r="C79" s="26">
        <v>45627</v>
      </c>
      <c r="D79" s="39" t="s">
        <v>29</v>
      </c>
      <c r="E79" s="90" t="s">
        <v>209</v>
      </c>
      <c r="F79" s="112" t="s">
        <v>210</v>
      </c>
      <c r="G79" s="39" t="s">
        <v>105</v>
      </c>
      <c r="H79" s="29">
        <v>90000</v>
      </c>
      <c r="I79" s="29">
        <f t="shared" ref="I79:I81" si="28">H79*2.87%</f>
        <v>2583</v>
      </c>
      <c r="J79" s="29">
        <f t="shared" ref="J79:J81" si="29">H79*3.04%</f>
        <v>2736</v>
      </c>
      <c r="K79" s="29">
        <v>61158.5</v>
      </c>
      <c r="L79" s="29">
        <v>9753.1200000000008</v>
      </c>
      <c r="M79" s="41"/>
      <c r="N79" s="84"/>
      <c r="O79" s="29">
        <v>25</v>
      </c>
      <c r="P79" s="99"/>
      <c r="Q79" s="84"/>
      <c r="R79" s="82">
        <f t="shared" ref="R79:R81" si="30">I79+J79+L79+N79+O79+P79</f>
        <v>15097.12</v>
      </c>
      <c r="S79" s="29">
        <f t="shared" ref="S79:S81" si="31">H79-R79</f>
        <v>74902.880000000005</v>
      </c>
    </row>
    <row r="80" spans="1:19" ht="48" customHeight="1" thickBot="1" x14ac:dyDescent="0.5">
      <c r="A80" s="25">
        <v>49</v>
      </c>
      <c r="B80" s="32">
        <v>44572</v>
      </c>
      <c r="C80" s="26">
        <v>45627</v>
      </c>
      <c r="D80" s="39" t="s">
        <v>29</v>
      </c>
      <c r="E80" s="90" t="s">
        <v>211</v>
      </c>
      <c r="F80" s="112" t="s">
        <v>212</v>
      </c>
      <c r="G80" s="39" t="s">
        <v>105</v>
      </c>
      <c r="H80" s="29">
        <v>65000</v>
      </c>
      <c r="I80" s="29">
        <f t="shared" si="28"/>
        <v>1865.5</v>
      </c>
      <c r="J80" s="29">
        <f t="shared" si="29"/>
        <v>1976</v>
      </c>
      <c r="K80" s="29">
        <v>61158.5</v>
      </c>
      <c r="L80" s="29">
        <f>4427.58</f>
        <v>4427.58</v>
      </c>
      <c r="M80" s="41">
        <v>0</v>
      </c>
      <c r="N80" s="84"/>
      <c r="O80" s="29">
        <v>25</v>
      </c>
      <c r="P80" s="99"/>
      <c r="Q80" s="84"/>
      <c r="R80" s="82">
        <f t="shared" si="30"/>
        <v>8294.08</v>
      </c>
      <c r="S80" s="29">
        <f t="shared" si="31"/>
        <v>56705.919999999998</v>
      </c>
    </row>
    <row r="81" spans="1:19" ht="48.6" customHeight="1" thickBot="1" x14ac:dyDescent="0.5">
      <c r="A81" s="25">
        <v>50</v>
      </c>
      <c r="B81" s="32">
        <v>44958</v>
      </c>
      <c r="C81" s="26">
        <v>45627</v>
      </c>
      <c r="D81" s="39" t="s">
        <v>23</v>
      </c>
      <c r="E81" s="90" t="s">
        <v>213</v>
      </c>
      <c r="F81" s="112" t="s">
        <v>214</v>
      </c>
      <c r="G81" s="39" t="s">
        <v>105</v>
      </c>
      <c r="H81" s="29">
        <v>85000</v>
      </c>
      <c r="I81" s="29">
        <f t="shared" si="28"/>
        <v>2439.5</v>
      </c>
      <c r="J81" s="29">
        <f t="shared" si="29"/>
        <v>2584</v>
      </c>
      <c r="K81" s="29">
        <v>61158.5</v>
      </c>
      <c r="L81" s="29">
        <v>8576.99</v>
      </c>
      <c r="M81" s="41"/>
      <c r="N81" s="84"/>
      <c r="O81" s="29">
        <v>25</v>
      </c>
      <c r="P81" s="41">
        <v>0</v>
      </c>
      <c r="Q81" s="84"/>
      <c r="R81" s="82">
        <f t="shared" si="30"/>
        <v>13625.49</v>
      </c>
      <c r="S81" s="29">
        <f t="shared" si="31"/>
        <v>71374.509999999995</v>
      </c>
    </row>
    <row r="82" spans="1:19" ht="48.6" customHeight="1" thickBot="1" x14ac:dyDescent="0.5">
      <c r="A82" s="25"/>
      <c r="B82" s="148" t="s">
        <v>123</v>
      </c>
      <c r="C82" s="149"/>
      <c r="D82" s="149"/>
      <c r="E82" s="149"/>
      <c r="F82" s="150"/>
      <c r="G82" s="84"/>
      <c r="H82" s="85">
        <f>H77+H78+H79+H80+H81</f>
        <v>555000</v>
      </c>
      <c r="I82" s="85">
        <f t="shared" ref="I82:S82" si="32">I77+I78+I79+I80+I81</f>
        <v>15928.5</v>
      </c>
      <c r="J82" s="85">
        <f t="shared" si="32"/>
        <v>15413.407999999999</v>
      </c>
      <c r="K82" s="85">
        <f t="shared" si="32"/>
        <v>467204.092</v>
      </c>
      <c r="L82" s="85">
        <f>L77+L78+L79+L80+L81</f>
        <v>74383.94</v>
      </c>
      <c r="M82" s="85"/>
      <c r="N82" s="85">
        <f t="shared" si="32"/>
        <v>0</v>
      </c>
      <c r="O82" s="85">
        <f t="shared" si="32"/>
        <v>125</v>
      </c>
      <c r="P82" s="85">
        <f t="shared" si="32"/>
        <v>0</v>
      </c>
      <c r="Q82" s="85">
        <f t="shared" si="32"/>
        <v>0</v>
      </c>
      <c r="R82" s="85">
        <f t="shared" si="32"/>
        <v>105850.848</v>
      </c>
      <c r="S82" s="85">
        <f t="shared" si="32"/>
        <v>449149.152</v>
      </c>
    </row>
    <row r="83" spans="1:19" ht="48.6" customHeight="1" thickBot="1" x14ac:dyDescent="0.45">
      <c r="A83" s="25"/>
      <c r="B83" s="157" t="s">
        <v>215</v>
      </c>
      <c r="C83" s="158"/>
      <c r="D83" s="158"/>
      <c r="E83" s="158"/>
      <c r="F83" s="35"/>
      <c r="G83" s="34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84"/>
    </row>
    <row r="84" spans="1:19" ht="36.6" customHeight="1" thickBot="1" x14ac:dyDescent="0.45">
      <c r="A84" s="25">
        <v>51</v>
      </c>
      <c r="B84" s="32">
        <v>43840</v>
      </c>
      <c r="C84" s="32">
        <v>45292</v>
      </c>
      <c r="D84" s="26" t="s">
        <v>23</v>
      </c>
      <c r="E84" s="90" t="s">
        <v>216</v>
      </c>
      <c r="F84" s="90" t="s">
        <v>217</v>
      </c>
      <c r="G84" s="39" t="s">
        <v>105</v>
      </c>
      <c r="H84" s="29">
        <v>250000</v>
      </c>
      <c r="I84" s="41">
        <f t="shared" ref="I84:I92" si="33">H84*2.87%</f>
        <v>7175</v>
      </c>
      <c r="J84" s="29">
        <f>187020*3.04%</f>
        <v>5685.4080000000004</v>
      </c>
      <c r="K84" s="41">
        <f t="shared" ref="K84:K92" si="34">H84-I84-J84</f>
        <v>237139.592</v>
      </c>
      <c r="L84" s="82">
        <v>47473.4</v>
      </c>
      <c r="M84" s="29"/>
      <c r="N84" s="29">
        <v>1715.46</v>
      </c>
      <c r="O84" s="29">
        <v>25</v>
      </c>
      <c r="P84" s="29"/>
      <c r="Q84" s="109">
        <v>0</v>
      </c>
      <c r="R84" s="82">
        <f>I84+J84+N84+O84+P84+L84-Q84</f>
        <v>62074.267999999996</v>
      </c>
      <c r="S84" s="29">
        <f>H84-R84</f>
        <v>187925.73200000002</v>
      </c>
    </row>
    <row r="85" spans="1:19" ht="36.6" customHeight="1" thickBot="1" x14ac:dyDescent="0.45">
      <c r="A85" s="25">
        <v>52</v>
      </c>
      <c r="B85" s="32" t="s">
        <v>218</v>
      </c>
      <c r="C85" s="32">
        <v>45292</v>
      </c>
      <c r="D85" s="26" t="s">
        <v>29</v>
      </c>
      <c r="E85" s="90" t="s">
        <v>219</v>
      </c>
      <c r="F85" s="90" t="s">
        <v>220</v>
      </c>
      <c r="G85" s="39" t="s">
        <v>105</v>
      </c>
      <c r="H85" s="29">
        <v>150000</v>
      </c>
      <c r="I85" s="41">
        <f t="shared" si="33"/>
        <v>4305</v>
      </c>
      <c r="J85" s="29">
        <f t="shared" ref="J85:J92" si="35">H85*3.04%</f>
        <v>4560</v>
      </c>
      <c r="K85" s="41">
        <f t="shared" si="34"/>
        <v>141135</v>
      </c>
      <c r="L85" s="82">
        <v>23866.62</v>
      </c>
      <c r="M85" s="29"/>
      <c r="N85" s="29"/>
      <c r="O85" s="29">
        <v>25</v>
      </c>
      <c r="P85" s="29"/>
      <c r="Q85" s="109"/>
      <c r="R85" s="82">
        <f t="shared" ref="R85:R92" si="36">I85+J85+L85+N85+O85+P85</f>
        <v>32756.62</v>
      </c>
      <c r="S85" s="29">
        <f t="shared" ref="S85:S92" si="37">H85-R85</f>
        <v>117243.38</v>
      </c>
    </row>
    <row r="86" spans="1:19" ht="36" customHeight="1" thickBot="1" x14ac:dyDescent="0.5">
      <c r="A86" s="25">
        <v>53</v>
      </c>
      <c r="B86" s="32">
        <v>44200</v>
      </c>
      <c r="C86" s="32">
        <v>45292</v>
      </c>
      <c r="D86" s="26" t="s">
        <v>23</v>
      </c>
      <c r="E86" s="90" t="s">
        <v>221</v>
      </c>
      <c r="F86" s="112" t="s">
        <v>222</v>
      </c>
      <c r="G86" s="39" t="s">
        <v>105</v>
      </c>
      <c r="H86" s="29">
        <v>95000</v>
      </c>
      <c r="I86" s="41">
        <f t="shared" si="33"/>
        <v>2726.5</v>
      </c>
      <c r="J86" s="29">
        <f t="shared" si="35"/>
        <v>2888</v>
      </c>
      <c r="K86" s="41">
        <f t="shared" si="34"/>
        <v>89385.5</v>
      </c>
      <c r="L86" s="82">
        <v>10929.31</v>
      </c>
      <c r="M86" s="29"/>
      <c r="N86" s="29"/>
      <c r="O86" s="29">
        <v>25</v>
      </c>
      <c r="P86" s="29"/>
      <c r="Q86" s="109"/>
      <c r="R86" s="82">
        <f t="shared" si="36"/>
        <v>16568.809999999998</v>
      </c>
      <c r="S86" s="29">
        <f t="shared" si="37"/>
        <v>78431.19</v>
      </c>
    </row>
    <row r="87" spans="1:19" ht="37.15" customHeight="1" thickBot="1" x14ac:dyDescent="0.45">
      <c r="A87" s="25">
        <v>54</v>
      </c>
      <c r="B87" s="32">
        <v>44206</v>
      </c>
      <c r="C87" s="32">
        <v>45292</v>
      </c>
      <c r="D87" s="26" t="s">
        <v>29</v>
      </c>
      <c r="E87" s="90" t="s">
        <v>223</v>
      </c>
      <c r="F87" s="90" t="s">
        <v>137</v>
      </c>
      <c r="G87" s="39" t="s">
        <v>105</v>
      </c>
      <c r="H87" s="29">
        <v>75000</v>
      </c>
      <c r="I87" s="41">
        <f t="shared" si="33"/>
        <v>2152.5</v>
      </c>
      <c r="J87" s="29">
        <f t="shared" si="35"/>
        <v>2280</v>
      </c>
      <c r="K87" s="41">
        <f t="shared" si="34"/>
        <v>70567.5</v>
      </c>
      <c r="L87" s="82">
        <v>6309.38</v>
      </c>
      <c r="M87" s="29"/>
      <c r="N87" s="29"/>
      <c r="O87" s="29">
        <v>25</v>
      </c>
      <c r="P87" s="29"/>
      <c r="Q87" s="82">
        <v>0</v>
      </c>
      <c r="R87" s="82">
        <f>I87+J87+L87+N87+O87+P87-Q87</f>
        <v>10766.880000000001</v>
      </c>
      <c r="S87" s="29">
        <f t="shared" si="37"/>
        <v>64233.119999999995</v>
      </c>
    </row>
    <row r="88" spans="1:19" ht="62.45" customHeight="1" thickBot="1" x14ac:dyDescent="0.45">
      <c r="A88" s="25">
        <v>55</v>
      </c>
      <c r="B88" s="32" t="s">
        <v>225</v>
      </c>
      <c r="C88" s="32" t="s">
        <v>258</v>
      </c>
      <c r="D88" s="26" t="s">
        <v>23</v>
      </c>
      <c r="E88" s="90" t="s">
        <v>226</v>
      </c>
      <c r="F88" s="113" t="s">
        <v>224</v>
      </c>
      <c r="G88" s="26" t="s">
        <v>105</v>
      </c>
      <c r="H88" s="29">
        <v>65000</v>
      </c>
      <c r="I88" s="41">
        <f t="shared" si="33"/>
        <v>1865.5</v>
      </c>
      <c r="J88" s="29">
        <f t="shared" si="35"/>
        <v>1976</v>
      </c>
      <c r="K88" s="29">
        <f t="shared" si="34"/>
        <v>61158.5</v>
      </c>
      <c r="L88" s="41">
        <v>4427.58</v>
      </c>
      <c r="M88" s="29"/>
      <c r="N88" s="29"/>
      <c r="O88" s="29">
        <v>25</v>
      </c>
      <c r="P88" s="29"/>
      <c r="Q88" s="82"/>
      <c r="R88" s="82">
        <f t="shared" si="36"/>
        <v>8294.08</v>
      </c>
      <c r="S88" s="29">
        <f t="shared" si="37"/>
        <v>56705.919999999998</v>
      </c>
    </row>
    <row r="89" spans="1:19" ht="69" customHeight="1" thickBot="1" x14ac:dyDescent="0.45">
      <c r="A89" s="25">
        <v>56</v>
      </c>
      <c r="B89" s="32">
        <v>44569</v>
      </c>
      <c r="C89" s="32">
        <v>45292</v>
      </c>
      <c r="D89" s="26" t="s">
        <v>29</v>
      </c>
      <c r="E89" s="90" t="s">
        <v>227</v>
      </c>
      <c r="F89" s="31" t="s">
        <v>228</v>
      </c>
      <c r="G89" s="26" t="s">
        <v>105</v>
      </c>
      <c r="H89" s="29">
        <v>70000</v>
      </c>
      <c r="I89" s="41">
        <f t="shared" si="33"/>
        <v>2009</v>
      </c>
      <c r="J89" s="29">
        <f t="shared" si="35"/>
        <v>2128</v>
      </c>
      <c r="K89" s="29">
        <f t="shared" si="34"/>
        <v>65863</v>
      </c>
      <c r="L89" s="41">
        <v>5368.48</v>
      </c>
      <c r="M89" s="29">
        <v>0</v>
      </c>
      <c r="N89" s="29">
        <v>0</v>
      </c>
      <c r="O89" s="29">
        <v>25</v>
      </c>
      <c r="P89" s="29"/>
      <c r="Q89" s="82"/>
      <c r="R89" s="82">
        <f t="shared" si="36"/>
        <v>9530.48</v>
      </c>
      <c r="S89" s="29">
        <f t="shared" si="37"/>
        <v>60469.520000000004</v>
      </c>
    </row>
    <row r="90" spans="1:19" ht="48.6" customHeight="1" thickBot="1" x14ac:dyDescent="0.45">
      <c r="A90" s="25">
        <v>57</v>
      </c>
      <c r="B90" s="32">
        <v>44958</v>
      </c>
      <c r="C90" s="32">
        <v>45297</v>
      </c>
      <c r="D90" s="26" t="s">
        <v>29</v>
      </c>
      <c r="E90" s="90" t="s">
        <v>229</v>
      </c>
      <c r="F90" s="113" t="s">
        <v>228</v>
      </c>
      <c r="G90" s="26" t="s">
        <v>105</v>
      </c>
      <c r="H90" s="29">
        <v>55000</v>
      </c>
      <c r="I90" s="41">
        <f t="shared" si="33"/>
        <v>1578.5</v>
      </c>
      <c r="J90" s="29">
        <f t="shared" si="35"/>
        <v>1672</v>
      </c>
      <c r="K90" s="29">
        <f t="shared" si="34"/>
        <v>51749.5</v>
      </c>
      <c r="L90" s="41">
        <v>2559.6799999999998</v>
      </c>
      <c r="M90" s="29"/>
      <c r="N90" s="29"/>
      <c r="O90" s="29">
        <v>25</v>
      </c>
      <c r="P90" s="29"/>
      <c r="Q90" s="82"/>
      <c r="R90" s="82">
        <f t="shared" si="36"/>
        <v>5835.18</v>
      </c>
      <c r="S90" s="29">
        <f t="shared" si="37"/>
        <v>49164.82</v>
      </c>
    </row>
    <row r="91" spans="1:19" ht="61.15" customHeight="1" thickBot="1" x14ac:dyDescent="0.45">
      <c r="A91" s="25">
        <v>58</v>
      </c>
      <c r="B91" s="32">
        <v>45023</v>
      </c>
      <c r="C91" s="32">
        <v>45297</v>
      </c>
      <c r="D91" s="26" t="s">
        <v>29</v>
      </c>
      <c r="E91" s="90" t="s">
        <v>230</v>
      </c>
      <c r="F91" s="113" t="s">
        <v>231</v>
      </c>
      <c r="G91" s="26" t="s">
        <v>105</v>
      </c>
      <c r="H91" s="29">
        <v>130000</v>
      </c>
      <c r="I91" s="41">
        <f t="shared" si="33"/>
        <v>3731</v>
      </c>
      <c r="J91" s="29">
        <f t="shared" si="35"/>
        <v>3952</v>
      </c>
      <c r="K91" s="29">
        <f t="shared" si="34"/>
        <v>122317</v>
      </c>
      <c r="L91" s="41">
        <v>19162.189999999999</v>
      </c>
      <c r="M91" s="29"/>
      <c r="N91" s="29">
        <v>0</v>
      </c>
      <c r="O91" s="29">
        <v>25</v>
      </c>
      <c r="P91" s="29"/>
      <c r="Q91" s="82"/>
      <c r="R91" s="82">
        <f t="shared" si="36"/>
        <v>26870.19</v>
      </c>
      <c r="S91" s="29">
        <f t="shared" si="37"/>
        <v>103129.81</v>
      </c>
    </row>
    <row r="92" spans="1:19" ht="61.15" customHeight="1" thickBot="1" x14ac:dyDescent="0.5">
      <c r="A92" s="25">
        <v>59</v>
      </c>
      <c r="B92" s="32" t="s">
        <v>232</v>
      </c>
      <c r="C92" s="32">
        <v>45296</v>
      </c>
      <c r="D92" s="26" t="s">
        <v>29</v>
      </c>
      <c r="E92" s="90" t="s">
        <v>233</v>
      </c>
      <c r="F92" s="113" t="s">
        <v>234</v>
      </c>
      <c r="G92" s="26" t="s">
        <v>105</v>
      </c>
      <c r="H92" s="29">
        <v>75000</v>
      </c>
      <c r="I92" s="41">
        <f t="shared" si="33"/>
        <v>2152.5</v>
      </c>
      <c r="J92" s="29">
        <f t="shared" si="35"/>
        <v>2280</v>
      </c>
      <c r="K92" s="29">
        <f t="shared" si="34"/>
        <v>70567.5</v>
      </c>
      <c r="L92" s="41">
        <v>6309.38</v>
      </c>
      <c r="M92" s="29"/>
      <c r="N92" s="29">
        <v>0</v>
      </c>
      <c r="O92" s="29">
        <v>25</v>
      </c>
      <c r="P92" s="29"/>
      <c r="Q92" s="82"/>
      <c r="R92" s="82">
        <f t="shared" si="36"/>
        <v>10766.880000000001</v>
      </c>
      <c r="S92" s="29">
        <f t="shared" si="37"/>
        <v>64233.119999999995</v>
      </c>
    </row>
    <row r="93" spans="1:19" ht="48.6" customHeight="1" thickBot="1" x14ac:dyDescent="0.5">
      <c r="A93" s="111"/>
      <c r="B93" s="148" t="s">
        <v>123</v>
      </c>
      <c r="C93" s="149"/>
      <c r="D93" s="149"/>
      <c r="E93" s="149"/>
      <c r="F93" s="149"/>
      <c r="G93" s="34"/>
      <c r="H93" s="85">
        <f>H84+H85+H86+H87+H88+H89+H90+H91+H92</f>
        <v>965000</v>
      </c>
      <c r="I93" s="85">
        <f t="shared" ref="I93:S93" si="38">I84+I85+I86+I87+I88+I89+I90+I91+I92</f>
        <v>27695.5</v>
      </c>
      <c r="J93" s="85">
        <f t="shared" si="38"/>
        <v>27421.407999999999</v>
      </c>
      <c r="K93" s="85">
        <f t="shared" si="38"/>
        <v>909883.09199999995</v>
      </c>
      <c r="L93" s="85">
        <f t="shared" si="38"/>
        <v>126406.02</v>
      </c>
      <c r="M93" s="85">
        <f t="shared" si="38"/>
        <v>0</v>
      </c>
      <c r="N93" s="85">
        <f t="shared" si="38"/>
        <v>1715.46</v>
      </c>
      <c r="O93" s="85">
        <f t="shared" si="38"/>
        <v>225</v>
      </c>
      <c r="P93" s="85">
        <f t="shared" si="38"/>
        <v>0</v>
      </c>
      <c r="Q93" s="85">
        <f t="shared" si="38"/>
        <v>0</v>
      </c>
      <c r="R93" s="85">
        <f t="shared" si="38"/>
        <v>183463.38800000001</v>
      </c>
      <c r="S93" s="85">
        <f t="shared" si="38"/>
        <v>781536.61199999985</v>
      </c>
    </row>
    <row r="94" spans="1:19" ht="48.6" customHeight="1" thickBot="1" x14ac:dyDescent="0.45">
      <c r="A94" s="111"/>
      <c r="B94" s="157" t="s">
        <v>235</v>
      </c>
      <c r="C94" s="158"/>
      <c r="D94" s="158"/>
      <c r="E94" s="158"/>
      <c r="F94" s="35"/>
      <c r="G94" s="34"/>
      <c r="H94" s="84"/>
      <c r="I94" s="84"/>
      <c r="J94" s="84"/>
      <c r="K94" s="84"/>
      <c r="L94" s="84"/>
      <c r="M94" s="84"/>
      <c r="N94" s="84"/>
      <c r="O94" s="84"/>
      <c r="P94" s="84"/>
      <c r="Q94" s="89"/>
      <c r="R94" s="89"/>
      <c r="S94" s="84"/>
    </row>
    <row r="95" spans="1:19" ht="37.5" customHeight="1" thickBot="1" x14ac:dyDescent="0.45">
      <c r="A95" s="25">
        <v>60</v>
      </c>
      <c r="B95" s="26" t="s">
        <v>236</v>
      </c>
      <c r="C95" s="26">
        <v>45295</v>
      </c>
      <c r="D95" s="27" t="s">
        <v>29</v>
      </c>
      <c r="E95" s="28" t="s">
        <v>237</v>
      </c>
      <c r="F95" s="28" t="s">
        <v>238</v>
      </c>
      <c r="G95" s="27" t="s">
        <v>105</v>
      </c>
      <c r="H95" s="29">
        <v>115000</v>
      </c>
      <c r="I95" s="30">
        <f>+H95*2.87%</f>
        <v>3300.5</v>
      </c>
      <c r="J95" s="30">
        <f t="shared" ref="J95" si="39">H95*3.04%</f>
        <v>3496</v>
      </c>
      <c r="K95" s="30">
        <f>H95-I95-J95</f>
        <v>108203.5</v>
      </c>
      <c r="L95" s="51">
        <v>15633.74</v>
      </c>
      <c r="M95" s="51"/>
      <c r="N95" s="30"/>
      <c r="O95" s="30">
        <v>25</v>
      </c>
      <c r="P95" s="30"/>
      <c r="Q95" s="87">
        <v>0</v>
      </c>
      <c r="R95" s="87">
        <f>I95+J95+L95+N95+O95+P95-Q95</f>
        <v>22455.239999999998</v>
      </c>
      <c r="S95" s="30">
        <f>H95-R95</f>
        <v>92544.760000000009</v>
      </c>
    </row>
    <row r="96" spans="1:19" ht="37.5" customHeight="1" thickBot="1" x14ac:dyDescent="0.5">
      <c r="A96" s="25"/>
      <c r="B96" s="32"/>
      <c r="C96" s="39"/>
      <c r="D96" s="100"/>
      <c r="E96" s="50"/>
      <c r="F96" s="28"/>
      <c r="G96" s="27"/>
      <c r="H96" s="114">
        <f>H95</f>
        <v>115000</v>
      </c>
      <c r="I96" s="114">
        <f>I95</f>
        <v>3300.5</v>
      </c>
      <c r="J96" s="114">
        <f>J95</f>
        <v>3496</v>
      </c>
      <c r="K96" s="114">
        <f t="shared" ref="K96:R96" si="40">K95</f>
        <v>108203.5</v>
      </c>
      <c r="L96" s="114">
        <f>L95</f>
        <v>15633.74</v>
      </c>
      <c r="M96" s="114"/>
      <c r="N96" s="114">
        <f t="shared" si="40"/>
        <v>0</v>
      </c>
      <c r="O96" s="114">
        <f t="shared" si="40"/>
        <v>25</v>
      </c>
      <c r="P96" s="114">
        <f t="shared" si="40"/>
        <v>0</v>
      </c>
      <c r="Q96" s="114">
        <f t="shared" si="40"/>
        <v>0</v>
      </c>
      <c r="R96" s="115">
        <f t="shared" si="40"/>
        <v>22455.239999999998</v>
      </c>
      <c r="S96" s="114">
        <f>S95</f>
        <v>92544.760000000009</v>
      </c>
    </row>
    <row r="97" spans="1:19" ht="48.6" customHeight="1" thickBot="1" x14ac:dyDescent="0.45">
      <c r="A97" s="25"/>
      <c r="B97" s="157" t="s">
        <v>239</v>
      </c>
      <c r="C97" s="158"/>
      <c r="D97" s="158"/>
      <c r="E97" s="159"/>
      <c r="F97" s="28"/>
      <c r="G97" s="116"/>
      <c r="H97" s="117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9"/>
    </row>
    <row r="98" spans="1:19" ht="37.15" customHeight="1" thickBot="1" x14ac:dyDescent="0.45">
      <c r="A98" s="25">
        <v>61</v>
      </c>
      <c r="B98" s="26">
        <v>44113</v>
      </c>
      <c r="C98" s="26">
        <v>45292</v>
      </c>
      <c r="D98" s="27" t="s">
        <v>23</v>
      </c>
      <c r="E98" s="28" t="s">
        <v>240</v>
      </c>
      <c r="F98" s="28" t="s">
        <v>241</v>
      </c>
      <c r="G98" s="27" t="s">
        <v>105</v>
      </c>
      <c r="H98" s="48">
        <v>250000</v>
      </c>
      <c r="I98" s="49">
        <f t="shared" ref="I98:I105" si="41">+H98*2.87%</f>
        <v>7175</v>
      </c>
      <c r="J98" s="49">
        <f>187020*3.04%</f>
        <v>5685.4080000000004</v>
      </c>
      <c r="K98" s="49">
        <f t="shared" ref="K98:K105" si="42">H98-I98-J98</f>
        <v>237139.592</v>
      </c>
      <c r="L98" s="120">
        <v>47473.4</v>
      </c>
      <c r="M98" s="120"/>
      <c r="N98" s="49">
        <v>1715.46</v>
      </c>
      <c r="O98" s="49">
        <v>25</v>
      </c>
      <c r="P98" s="49">
        <v>0</v>
      </c>
      <c r="Q98" s="121"/>
      <c r="R98" s="121">
        <f>I98+J98+L98+P98+O98+N98</f>
        <v>62074.268000000004</v>
      </c>
      <c r="S98" s="49">
        <f>H98-R98</f>
        <v>187925.73199999999</v>
      </c>
    </row>
    <row r="99" spans="1:19" ht="61.9" customHeight="1" thickBot="1" x14ac:dyDescent="0.5">
      <c r="A99" s="25">
        <v>62</v>
      </c>
      <c r="B99" s="26">
        <v>44621</v>
      </c>
      <c r="C99" s="26">
        <v>45297</v>
      </c>
      <c r="D99" s="27" t="s">
        <v>29</v>
      </c>
      <c r="E99" s="50" t="s">
        <v>242</v>
      </c>
      <c r="F99" s="122" t="s">
        <v>243</v>
      </c>
      <c r="G99" s="123" t="s">
        <v>105</v>
      </c>
      <c r="H99" s="29">
        <v>85000</v>
      </c>
      <c r="I99" s="29">
        <f t="shared" si="41"/>
        <v>2439.5</v>
      </c>
      <c r="J99" s="29">
        <f t="shared" ref="J99:J105" si="43">H99*3.04%</f>
        <v>2584</v>
      </c>
      <c r="K99" s="29">
        <f t="shared" si="42"/>
        <v>79976.5</v>
      </c>
      <c r="L99" s="51">
        <v>8576.99</v>
      </c>
      <c r="M99" s="51"/>
      <c r="N99" s="51"/>
      <c r="O99" s="51">
        <v>25</v>
      </c>
      <c r="P99" s="51">
        <v>0</v>
      </c>
      <c r="Q99" s="124"/>
      <c r="R99" s="121">
        <f t="shared" ref="R99:R105" si="44">I99+J99+L99+P99+O99+N99</f>
        <v>13625.49</v>
      </c>
      <c r="S99" s="49">
        <f t="shared" ref="S99:S105" si="45">H99-R99</f>
        <v>71374.509999999995</v>
      </c>
    </row>
    <row r="100" spans="1:19" ht="69" customHeight="1" thickBot="1" x14ac:dyDescent="0.5">
      <c r="A100" s="25">
        <v>63</v>
      </c>
      <c r="B100" s="26">
        <v>44958</v>
      </c>
      <c r="C100" s="26">
        <v>45292</v>
      </c>
      <c r="D100" s="27" t="s">
        <v>29</v>
      </c>
      <c r="E100" s="50" t="s">
        <v>244</v>
      </c>
      <c r="F100" s="122" t="s">
        <v>245</v>
      </c>
      <c r="G100" s="123" t="s">
        <v>105</v>
      </c>
      <c r="H100" s="29">
        <v>95000</v>
      </c>
      <c r="I100" s="29">
        <f t="shared" si="41"/>
        <v>2726.5</v>
      </c>
      <c r="J100" s="29">
        <f t="shared" si="43"/>
        <v>2888</v>
      </c>
      <c r="K100" s="29">
        <f t="shared" si="42"/>
        <v>89385.5</v>
      </c>
      <c r="L100" s="51">
        <v>10929.24</v>
      </c>
      <c r="M100" s="51"/>
      <c r="N100" s="51"/>
      <c r="O100" s="51">
        <v>25</v>
      </c>
      <c r="P100" s="51">
        <v>0</v>
      </c>
      <c r="Q100" s="124"/>
      <c r="R100" s="121">
        <f t="shared" si="44"/>
        <v>16568.739999999998</v>
      </c>
      <c r="S100" s="49">
        <f t="shared" si="45"/>
        <v>78431.260000000009</v>
      </c>
    </row>
    <row r="101" spans="1:19" ht="63.6" customHeight="1" thickBot="1" x14ac:dyDescent="0.45">
      <c r="A101" s="25">
        <v>64</v>
      </c>
      <c r="B101" s="26">
        <v>44958</v>
      </c>
      <c r="C101" s="26">
        <v>45293</v>
      </c>
      <c r="D101" s="27" t="s">
        <v>23</v>
      </c>
      <c r="E101" s="50" t="s">
        <v>246</v>
      </c>
      <c r="F101" s="122" t="s">
        <v>247</v>
      </c>
      <c r="G101" s="123" t="s">
        <v>105</v>
      </c>
      <c r="H101" s="29">
        <v>75000</v>
      </c>
      <c r="I101" s="29">
        <f t="shared" si="41"/>
        <v>2152.5</v>
      </c>
      <c r="J101" s="29">
        <f t="shared" si="43"/>
        <v>2280</v>
      </c>
      <c r="K101" s="29">
        <f t="shared" si="42"/>
        <v>70567.5</v>
      </c>
      <c r="L101" s="51">
        <v>6309.38</v>
      </c>
      <c r="M101" s="51"/>
      <c r="N101" s="51"/>
      <c r="O101" s="51">
        <v>25</v>
      </c>
      <c r="P101" s="51">
        <v>0</v>
      </c>
      <c r="Q101" s="124"/>
      <c r="R101" s="121">
        <f t="shared" si="44"/>
        <v>10766.880000000001</v>
      </c>
      <c r="S101" s="49">
        <f t="shared" si="45"/>
        <v>64233.119999999995</v>
      </c>
    </row>
    <row r="102" spans="1:19" ht="63.6" customHeight="1" thickBot="1" x14ac:dyDescent="0.45">
      <c r="A102" s="25">
        <v>65</v>
      </c>
      <c r="B102" s="26">
        <v>44929</v>
      </c>
      <c r="C102" s="26">
        <v>45294</v>
      </c>
      <c r="D102" s="27" t="s">
        <v>29</v>
      </c>
      <c r="E102" s="50" t="s">
        <v>248</v>
      </c>
      <c r="F102" s="122" t="s">
        <v>247</v>
      </c>
      <c r="G102" s="123" t="s">
        <v>105</v>
      </c>
      <c r="H102" s="29">
        <v>80000</v>
      </c>
      <c r="I102" s="29">
        <f t="shared" si="41"/>
        <v>2296</v>
      </c>
      <c r="J102" s="29">
        <f t="shared" si="43"/>
        <v>2432</v>
      </c>
      <c r="K102" s="29">
        <f t="shared" si="42"/>
        <v>75272</v>
      </c>
      <c r="L102" s="51">
        <v>7400.87</v>
      </c>
      <c r="M102" s="51"/>
      <c r="N102" s="51"/>
      <c r="O102" s="51">
        <v>25</v>
      </c>
      <c r="P102" s="51">
        <v>0</v>
      </c>
      <c r="Q102" s="124"/>
      <c r="R102" s="121">
        <f t="shared" si="44"/>
        <v>12153.869999999999</v>
      </c>
      <c r="S102" s="49">
        <f t="shared" si="45"/>
        <v>67846.13</v>
      </c>
    </row>
    <row r="103" spans="1:19" ht="63.6" customHeight="1" thickBot="1" x14ac:dyDescent="0.45">
      <c r="A103" s="25">
        <v>66</v>
      </c>
      <c r="B103" s="26">
        <v>44932</v>
      </c>
      <c r="C103" s="26">
        <v>45297</v>
      </c>
      <c r="D103" s="27" t="s">
        <v>29</v>
      </c>
      <c r="E103" s="50" t="s">
        <v>249</v>
      </c>
      <c r="F103" s="122" t="s">
        <v>250</v>
      </c>
      <c r="G103" s="123" t="s">
        <v>105</v>
      </c>
      <c r="H103" s="29">
        <v>65000</v>
      </c>
      <c r="I103" s="29">
        <f t="shared" si="41"/>
        <v>1865.5</v>
      </c>
      <c r="J103" s="29">
        <f t="shared" si="43"/>
        <v>1976</v>
      </c>
      <c r="K103" s="29">
        <f t="shared" si="42"/>
        <v>61158.5</v>
      </c>
      <c r="L103" s="51">
        <v>4427.58</v>
      </c>
      <c r="M103" s="51"/>
      <c r="N103" s="51"/>
      <c r="O103" s="51">
        <v>25</v>
      </c>
      <c r="P103" s="51">
        <v>0</v>
      </c>
      <c r="Q103" s="124"/>
      <c r="R103" s="121">
        <f t="shared" si="44"/>
        <v>8294.08</v>
      </c>
      <c r="S103" s="49">
        <f t="shared" si="45"/>
        <v>56705.919999999998</v>
      </c>
    </row>
    <row r="104" spans="1:19" ht="63.6" customHeight="1" thickBot="1" x14ac:dyDescent="0.5">
      <c r="A104" s="25">
        <v>67</v>
      </c>
      <c r="B104" s="26">
        <v>44932</v>
      </c>
      <c r="C104" s="26">
        <v>45297</v>
      </c>
      <c r="D104" s="27" t="s">
        <v>29</v>
      </c>
      <c r="E104" s="50" t="s">
        <v>251</v>
      </c>
      <c r="F104" s="122" t="s">
        <v>252</v>
      </c>
      <c r="G104" s="123" t="s">
        <v>105</v>
      </c>
      <c r="H104" s="29">
        <v>60000</v>
      </c>
      <c r="I104" s="29">
        <f t="shared" si="41"/>
        <v>1722</v>
      </c>
      <c r="J104" s="29">
        <f t="shared" si="43"/>
        <v>1824</v>
      </c>
      <c r="K104" s="29">
        <f t="shared" si="42"/>
        <v>56454</v>
      </c>
      <c r="L104" s="51">
        <v>3486.68</v>
      </c>
      <c r="M104" s="51"/>
      <c r="N104" s="51"/>
      <c r="O104" s="51">
        <v>25</v>
      </c>
      <c r="P104" s="51">
        <v>0</v>
      </c>
      <c r="Q104" s="124"/>
      <c r="R104" s="121">
        <f t="shared" si="44"/>
        <v>7057.68</v>
      </c>
      <c r="S104" s="49">
        <f t="shared" si="45"/>
        <v>52942.32</v>
      </c>
    </row>
    <row r="105" spans="1:19" ht="63.6" customHeight="1" thickBot="1" x14ac:dyDescent="0.5">
      <c r="A105" s="25">
        <v>68</v>
      </c>
      <c r="B105" s="26">
        <v>44937</v>
      </c>
      <c r="C105" s="26">
        <v>45296</v>
      </c>
      <c r="D105" s="27" t="s">
        <v>29</v>
      </c>
      <c r="E105" s="50" t="s">
        <v>253</v>
      </c>
      <c r="F105" s="122" t="s">
        <v>254</v>
      </c>
      <c r="G105" s="123" t="s">
        <v>105</v>
      </c>
      <c r="H105" s="29">
        <v>82000</v>
      </c>
      <c r="I105" s="29">
        <f t="shared" si="41"/>
        <v>2353.4</v>
      </c>
      <c r="J105" s="29">
        <f t="shared" si="43"/>
        <v>2492.8000000000002</v>
      </c>
      <c r="K105" s="29">
        <f t="shared" si="42"/>
        <v>77153.8</v>
      </c>
      <c r="L105" s="51">
        <v>7871.32</v>
      </c>
      <c r="M105" s="51"/>
      <c r="N105" s="51"/>
      <c r="O105" s="51">
        <v>25</v>
      </c>
      <c r="P105" s="51">
        <v>0</v>
      </c>
      <c r="Q105" s="124"/>
      <c r="R105" s="121">
        <f t="shared" si="44"/>
        <v>12742.52</v>
      </c>
      <c r="S105" s="49">
        <f t="shared" si="45"/>
        <v>69257.48</v>
      </c>
    </row>
    <row r="106" spans="1:19" ht="48.6" customHeight="1" thickBot="1" x14ac:dyDescent="0.5">
      <c r="A106" s="25"/>
      <c r="B106" s="148" t="s">
        <v>123</v>
      </c>
      <c r="C106" s="149"/>
      <c r="D106" s="149"/>
      <c r="E106" s="149"/>
      <c r="F106" s="150"/>
      <c r="G106" s="28"/>
      <c r="H106" s="85">
        <f>SUM(H98:H105)</f>
        <v>792000</v>
      </c>
      <c r="I106" s="85">
        <f t="shared" ref="I106:R106" si="46">SUM(I98:I105)</f>
        <v>22730.400000000001</v>
      </c>
      <c r="J106" s="85">
        <f t="shared" si="46"/>
        <v>22162.207999999999</v>
      </c>
      <c r="K106" s="85">
        <f t="shared" si="46"/>
        <v>747107.39199999999</v>
      </c>
      <c r="L106" s="85">
        <f>SUM(L98:L105)</f>
        <v>96475.459999999992</v>
      </c>
      <c r="M106" s="85">
        <f t="shared" si="46"/>
        <v>0</v>
      </c>
      <c r="N106" s="85">
        <f t="shared" si="46"/>
        <v>1715.46</v>
      </c>
      <c r="O106" s="85">
        <f t="shared" si="46"/>
        <v>200</v>
      </c>
      <c r="P106" s="85">
        <f t="shared" si="46"/>
        <v>0</v>
      </c>
      <c r="Q106" s="85">
        <f t="shared" si="46"/>
        <v>0</v>
      </c>
      <c r="R106" s="85">
        <f t="shared" si="46"/>
        <v>143283.52799999999</v>
      </c>
      <c r="S106" s="85">
        <f>SUM(S98:S105)</f>
        <v>648716.47199999995</v>
      </c>
    </row>
    <row r="107" spans="1:19" ht="37.5" customHeight="1" thickBot="1" x14ac:dyDescent="0.45">
      <c r="A107" s="160"/>
      <c r="B107" s="162"/>
      <c r="C107" s="163"/>
      <c r="D107" s="163"/>
      <c r="E107" s="163"/>
      <c r="F107" s="164"/>
      <c r="G107" s="28"/>
      <c r="H107" s="29"/>
      <c r="I107" s="51"/>
      <c r="J107" s="51"/>
      <c r="K107" s="51"/>
      <c r="L107" s="51"/>
      <c r="M107" s="51"/>
      <c r="N107" s="51"/>
      <c r="O107" s="51"/>
      <c r="P107" s="51"/>
      <c r="Q107" s="124"/>
      <c r="R107" s="124"/>
      <c r="S107" s="51"/>
    </row>
    <row r="108" spans="1:19" ht="37.5" customHeight="1" thickBot="1" x14ac:dyDescent="0.45">
      <c r="A108" s="161"/>
      <c r="B108" s="165"/>
      <c r="C108" s="166"/>
      <c r="D108" s="166"/>
      <c r="E108" s="166"/>
      <c r="F108" s="167"/>
      <c r="G108" s="28"/>
      <c r="H108" s="29"/>
      <c r="I108" s="51"/>
      <c r="J108" s="51"/>
      <c r="K108" s="51"/>
      <c r="L108" s="51"/>
      <c r="M108" s="51"/>
      <c r="N108" s="51"/>
      <c r="O108" s="51"/>
      <c r="P108" s="51"/>
      <c r="Q108" s="124"/>
      <c r="R108" s="124"/>
      <c r="S108" s="51"/>
    </row>
    <row r="109" spans="1:19" ht="48.6" customHeight="1" thickBot="1" x14ac:dyDescent="0.5">
      <c r="A109" s="25"/>
      <c r="B109" s="148" t="s">
        <v>84</v>
      </c>
      <c r="C109" s="149"/>
      <c r="D109" s="149"/>
      <c r="E109" s="149"/>
      <c r="F109" s="150"/>
      <c r="G109" s="28"/>
      <c r="H109" s="85">
        <f>H17+H32+H41+H57+H62+H69+H75+H82+H93+H96+H106+H22+H65</f>
        <v>7120000</v>
      </c>
      <c r="I109" s="85">
        <f>I17+I32+I41+I57+I62+I69+I75+I82+I93+I96+I106+I22+I65</f>
        <v>204344</v>
      </c>
      <c r="J109" s="85">
        <f>J17+J32+J41+J57+J62+J69+J75+J82+J93+J96+J106+J22+J65</f>
        <v>205083.26399999997</v>
      </c>
      <c r="K109" s="85">
        <f>K17+K32+K41+K57+K62+K69+K75+K82+K93+K96+K106+K22+K65</f>
        <v>6607073.7360000005</v>
      </c>
      <c r="L109" s="85">
        <f>L17+L32+L41+L57+L62+L69+L75+L82+L93+L96+L106+L22+L65</f>
        <v>892730.78799999994</v>
      </c>
      <c r="M109" s="85">
        <f>M13+M27+M28+M29+M37+M38+M47+M49+M50+M51+M53+M60+M68+M73+M80+M89</f>
        <v>0</v>
      </c>
      <c r="N109" s="85">
        <f t="shared" ref="N109:S109" si="47">N17+N32+N41+N57+N62+N69+N75+N82+N93+N96+N106+N22+N65</f>
        <v>12008.2</v>
      </c>
      <c r="O109" s="85">
        <f t="shared" si="47"/>
        <v>75206</v>
      </c>
      <c r="P109" s="85">
        <f t="shared" si="47"/>
        <v>28480.039999999997</v>
      </c>
      <c r="Q109" s="85">
        <f t="shared" si="47"/>
        <v>0</v>
      </c>
      <c r="R109" s="85">
        <f t="shared" si="47"/>
        <v>1417852.2919999999</v>
      </c>
      <c r="S109" s="85">
        <f t="shared" si="47"/>
        <v>5702147.7079999996</v>
      </c>
    </row>
    <row r="110" spans="1:19" ht="37.5" customHeight="1" x14ac:dyDescent="0.35">
      <c r="D110" s="3"/>
      <c r="E110" s="5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58"/>
      <c r="Q110" s="58"/>
      <c r="R110" s="3"/>
      <c r="S110" s="57"/>
    </row>
    <row r="111" spans="1:19" ht="37.5" customHeight="1" x14ac:dyDescent="0.45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58"/>
      <c r="Q111" s="58"/>
      <c r="R111" s="3"/>
      <c r="S111" s="125"/>
    </row>
    <row r="112" spans="1:19" ht="37.5" customHeight="1" x14ac:dyDescent="0.4">
      <c r="D112" s="3"/>
      <c r="E112" s="11"/>
      <c r="F112" s="3"/>
      <c r="G112" s="11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26"/>
    </row>
    <row r="113" spans="4:19" ht="37.5" customHeight="1" x14ac:dyDescent="0.45">
      <c r="D113" s="3"/>
      <c r="F113" s="4" t="s">
        <v>85</v>
      </c>
      <c r="G113" s="3"/>
      <c r="H113" s="9"/>
      <c r="I113" s="140" t="s">
        <v>255</v>
      </c>
      <c r="J113" s="140"/>
      <c r="K113" s="140"/>
      <c r="L113" s="59"/>
      <c r="M113" s="59"/>
      <c r="N113" s="59"/>
      <c r="O113" s="59"/>
      <c r="P113" s="60"/>
      <c r="Q113" s="60"/>
      <c r="R113" s="3"/>
      <c r="S113" s="127"/>
    </row>
    <row r="114" spans="4:19" ht="37.5" customHeight="1" x14ac:dyDescent="0.4">
      <c r="D114" s="3"/>
      <c r="F114" s="4" t="s">
        <v>87</v>
      </c>
      <c r="G114" s="3"/>
      <c r="H114" s="3"/>
      <c r="I114" s="3"/>
      <c r="J114" s="4" t="s">
        <v>88</v>
      </c>
      <c r="K114" s="3"/>
      <c r="L114" s="3"/>
      <c r="M114" s="3"/>
      <c r="N114" s="3"/>
      <c r="O114" s="3"/>
      <c r="P114" s="60"/>
      <c r="Q114" s="60"/>
      <c r="R114" s="3"/>
      <c r="S114" s="128"/>
    </row>
    <row r="115" spans="4:19" ht="37.5" customHeight="1" x14ac:dyDescent="0.25">
      <c r="E115" s="63"/>
      <c r="F115" s="63"/>
      <c r="G115" s="129"/>
      <c r="H115" s="63"/>
      <c r="I115" s="64"/>
      <c r="J115" s="64"/>
      <c r="K115" s="64"/>
      <c r="L115" s="75"/>
      <c r="M115" s="75"/>
      <c r="N115" s="65"/>
      <c r="O115" s="66"/>
      <c r="P115" s="3"/>
      <c r="Q115" s="3"/>
      <c r="R115" s="3"/>
      <c r="S115" s="3"/>
    </row>
    <row r="116" spans="4:19" ht="37.5" customHeight="1" x14ac:dyDescent="0.5">
      <c r="D116" s="67"/>
      <c r="E116" s="68"/>
      <c r="F116" s="68"/>
      <c r="G116" s="130"/>
      <c r="H116" s="69"/>
    </row>
  </sheetData>
  <autoFilter ref="A10:S106" xr:uid="{5C7F64D7-568E-4F7F-82D6-22C834F135E8}"/>
  <mergeCells count="30">
    <mergeCell ref="A107:A108"/>
    <mergeCell ref="B107:F108"/>
    <mergeCell ref="B109:F109"/>
    <mergeCell ref="I113:K113"/>
    <mergeCell ref="B75:F75"/>
    <mergeCell ref="B76:E76"/>
    <mergeCell ref="B82:F82"/>
    <mergeCell ref="B83:E83"/>
    <mergeCell ref="B93:F93"/>
    <mergeCell ref="B94:E94"/>
    <mergeCell ref="B97:E97"/>
    <mergeCell ref="B106:F106"/>
    <mergeCell ref="B70:E70"/>
    <mergeCell ref="B32:F32"/>
    <mergeCell ref="B33:E33"/>
    <mergeCell ref="B41:F41"/>
    <mergeCell ref="B42:E42"/>
    <mergeCell ref="B57:F57"/>
    <mergeCell ref="B58:E58"/>
    <mergeCell ref="B62:F62"/>
    <mergeCell ref="B63:E63"/>
    <mergeCell ref="B65:F65"/>
    <mergeCell ref="B66:E66"/>
    <mergeCell ref="B69:F69"/>
    <mergeCell ref="B23:E23"/>
    <mergeCell ref="I9:J9"/>
    <mergeCell ref="K9:P9"/>
    <mergeCell ref="B17:F17"/>
    <mergeCell ref="B18:E18"/>
    <mergeCell ref="B22:F22"/>
  </mergeCells>
  <pageMargins left="0.25" right="0.25" top="0.75" bottom="0.75" header="0.3" footer="0.3"/>
  <pageSetup paperSize="5" scale="20" orientation="landscape" r:id="rId1"/>
  <headerFooter alignWithMargins="0"/>
  <ignoredErrors>
    <ignoredError sqref="R2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CF650-2757-4D4A-B153-14C1F9B7A61B}">
  <sheetPr>
    <pageSetUpPr fitToPage="1"/>
  </sheetPr>
  <dimension ref="A1:Q64"/>
  <sheetViews>
    <sheetView showGridLines="0" topLeftCell="D13" zoomScale="40" zoomScaleNormal="40" zoomScaleSheetLayoutView="30" workbookViewId="0">
      <selection activeCell="K7" sqref="K7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5">
      <c r="C4" s="2"/>
      <c r="D4" s="2"/>
      <c r="E4" s="2"/>
      <c r="F4" s="2"/>
      <c r="G4" s="140" t="s">
        <v>0</v>
      </c>
      <c r="H4" s="140"/>
      <c r="I4" s="140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5">
      <c r="D5" s="5"/>
      <c r="E5" s="5"/>
      <c r="F5" s="5"/>
      <c r="G5" s="140" t="s">
        <v>267</v>
      </c>
      <c r="H5" s="140"/>
      <c r="I5" s="140"/>
      <c r="J5" s="5"/>
      <c r="K5" s="5"/>
      <c r="L5" s="5"/>
      <c r="M5" s="5"/>
      <c r="N5" s="5"/>
      <c r="O5" s="5"/>
      <c r="P5" s="5"/>
      <c r="Q5" s="3"/>
    </row>
    <row r="6" spans="1:17" ht="38.450000000000003" customHeight="1" x14ac:dyDescent="0.45">
      <c r="E6" s="6"/>
      <c r="F6" s="6"/>
      <c r="G6" s="140" t="s">
        <v>260</v>
      </c>
      <c r="H6" s="140"/>
      <c r="I6" s="140"/>
      <c r="J6" s="6"/>
      <c r="K6" s="6"/>
      <c r="L6" s="6"/>
      <c r="M6" s="6"/>
      <c r="N6" s="6"/>
      <c r="O6" s="6"/>
      <c r="P6" s="6"/>
      <c r="Q6" s="3"/>
    </row>
    <row r="7" spans="1:17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17" ht="43.15" customHeight="1" x14ac:dyDescent="0.45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17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17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17" ht="37.5" customHeight="1" thickBot="1" x14ac:dyDescent="0.45">
      <c r="C11" s="11"/>
      <c r="D11" s="12"/>
      <c r="E11" s="12"/>
      <c r="F11" s="12"/>
      <c r="G11" s="13" t="s">
        <v>2</v>
      </c>
      <c r="H11" s="141" t="s">
        <v>3</v>
      </c>
      <c r="I11" s="142"/>
      <c r="J11" s="141" t="s">
        <v>4</v>
      </c>
      <c r="K11" s="143"/>
      <c r="L11" s="143"/>
      <c r="M11" s="143"/>
      <c r="N11" s="143"/>
      <c r="O11" s="142"/>
      <c r="P11" s="12"/>
      <c r="Q11" s="14"/>
    </row>
    <row r="12" spans="1:17" ht="126" customHeight="1" thickBot="1" x14ac:dyDescent="0.3">
      <c r="A12" s="131" t="s">
        <v>5</v>
      </c>
      <c r="B12" s="131" t="s">
        <v>6</v>
      </c>
      <c r="C12" s="131" t="s">
        <v>7</v>
      </c>
      <c r="D12" s="131" t="s">
        <v>8</v>
      </c>
      <c r="E12" s="132" t="s">
        <v>9</v>
      </c>
      <c r="F12" s="132" t="s">
        <v>10</v>
      </c>
      <c r="G12" s="132" t="s">
        <v>11</v>
      </c>
      <c r="H12" s="133" t="s">
        <v>12</v>
      </c>
      <c r="I12" s="132" t="s">
        <v>13</v>
      </c>
      <c r="J12" s="132" t="s">
        <v>14</v>
      </c>
      <c r="K12" s="134" t="s">
        <v>15</v>
      </c>
      <c r="L12" s="135" t="s">
        <v>16</v>
      </c>
      <c r="M12" s="133" t="s">
        <v>17</v>
      </c>
      <c r="N12" s="131" t="s">
        <v>18</v>
      </c>
      <c r="O12" s="136" t="s">
        <v>4</v>
      </c>
      <c r="P12" s="132" t="s">
        <v>19</v>
      </c>
      <c r="Q12" s="137" t="s">
        <v>20</v>
      </c>
    </row>
    <row r="13" spans="1:17" ht="48.6" customHeight="1" thickBot="1" x14ac:dyDescent="0.3">
      <c r="B13" s="144" t="s">
        <v>21</v>
      </c>
      <c r="C13" s="145"/>
      <c r="D13" s="146"/>
      <c r="E13" s="20"/>
      <c r="F13" s="20"/>
      <c r="G13" s="20"/>
      <c r="H13" s="21"/>
      <c r="I13" s="20"/>
      <c r="J13" s="20"/>
      <c r="K13" s="20"/>
      <c r="L13" s="22"/>
      <c r="M13" s="21"/>
      <c r="N13" s="22"/>
      <c r="O13" s="23"/>
      <c r="P13" s="20"/>
      <c r="Q13" s="24"/>
    </row>
    <row r="14" spans="1:17" ht="37.5" customHeight="1" thickBot="1" x14ac:dyDescent="0.5">
      <c r="A14" s="25">
        <v>1</v>
      </c>
      <c r="B14" s="26" t="s">
        <v>22</v>
      </c>
      <c r="C14" s="27" t="s">
        <v>23</v>
      </c>
      <c r="D14" s="28" t="s">
        <v>24</v>
      </c>
      <c r="E14" s="28" t="s">
        <v>25</v>
      </c>
      <c r="F14" s="28" t="s">
        <v>26</v>
      </c>
      <c r="G14" s="29">
        <v>500000</v>
      </c>
      <c r="H14" s="30">
        <f>387050*2.87%</f>
        <v>11108.334999999999</v>
      </c>
      <c r="I14" s="30">
        <f>193525*3.04%</f>
        <v>5883.16</v>
      </c>
      <c r="J14" s="30">
        <f t="shared" ref="J14:J20" si="0">G14-H14-I14</f>
        <v>483008.505</v>
      </c>
      <c r="K14" s="30">
        <v>109334.99</v>
      </c>
      <c r="L14" s="30"/>
      <c r="M14" s="30"/>
      <c r="N14" s="30"/>
      <c r="O14" s="30">
        <v>25</v>
      </c>
      <c r="P14" s="30">
        <f>H14+I14+K14+O14</f>
        <v>126351.485</v>
      </c>
      <c r="Q14" s="30">
        <f>G14-P14</f>
        <v>373648.51500000001</v>
      </c>
    </row>
    <row r="15" spans="1:17" ht="37.5" customHeight="1" thickBot="1" x14ac:dyDescent="0.45">
      <c r="A15" s="25">
        <v>2</v>
      </c>
      <c r="B15" s="26" t="s">
        <v>22</v>
      </c>
      <c r="C15" s="27" t="s">
        <v>23</v>
      </c>
      <c r="D15" s="28" t="s">
        <v>27</v>
      </c>
      <c r="E15" s="28" t="s">
        <v>28</v>
      </c>
      <c r="F15" s="28" t="s">
        <v>26</v>
      </c>
      <c r="G15" s="29">
        <v>250000</v>
      </c>
      <c r="H15" s="30">
        <f t="shared" ref="H15:H20" si="1">+G15*2.87%</f>
        <v>7175</v>
      </c>
      <c r="I15" s="30">
        <f t="shared" ref="I15:I19" si="2">193525*3.04%</f>
        <v>5883.16</v>
      </c>
      <c r="J15" s="30">
        <f t="shared" si="0"/>
        <v>236941.84</v>
      </c>
      <c r="K15" s="30">
        <v>47818.33</v>
      </c>
      <c r="L15" s="30"/>
      <c r="M15" s="30"/>
      <c r="N15" s="30"/>
      <c r="O15" s="30">
        <v>25</v>
      </c>
      <c r="P15" s="30">
        <f t="shared" ref="P15:P18" si="3">H15+I15+K15+O15</f>
        <v>60901.490000000005</v>
      </c>
      <c r="Q15" s="30">
        <f t="shared" ref="Q15:Q20" si="4">G15-P15</f>
        <v>189098.51</v>
      </c>
    </row>
    <row r="16" spans="1:17" ht="55.15" customHeight="1" thickBot="1" x14ac:dyDescent="0.5">
      <c r="A16" s="25">
        <v>3</v>
      </c>
      <c r="B16" s="26">
        <v>44205</v>
      </c>
      <c r="C16" s="27" t="s">
        <v>29</v>
      </c>
      <c r="D16" s="28" t="s">
        <v>30</v>
      </c>
      <c r="E16" s="31" t="s">
        <v>31</v>
      </c>
      <c r="F16" s="28" t="s">
        <v>26</v>
      </c>
      <c r="G16" s="29">
        <v>110000</v>
      </c>
      <c r="H16" s="30">
        <f t="shared" si="1"/>
        <v>3157</v>
      </c>
      <c r="I16" s="30">
        <f>G16*3.04%</f>
        <v>3344</v>
      </c>
      <c r="J16" s="30">
        <f t="shared" si="0"/>
        <v>103499</v>
      </c>
      <c r="K16" s="30">
        <v>14457.62</v>
      </c>
      <c r="L16" s="30"/>
      <c r="M16" s="30"/>
      <c r="N16" s="30">
        <v>12035.77</v>
      </c>
      <c r="O16" s="30">
        <v>25</v>
      </c>
      <c r="P16" s="30">
        <f>H16+I16+K16+O16+N16</f>
        <v>33019.39</v>
      </c>
      <c r="Q16" s="30">
        <f>G16-P16</f>
        <v>76980.61</v>
      </c>
    </row>
    <row r="17" spans="1:17" ht="55.15" customHeight="1" thickBot="1" x14ac:dyDescent="0.5">
      <c r="A17" s="25">
        <v>4</v>
      </c>
      <c r="B17" s="26">
        <v>44205</v>
      </c>
      <c r="C17" s="27" t="s">
        <v>23</v>
      </c>
      <c r="D17" s="28" t="s">
        <v>32</v>
      </c>
      <c r="E17" s="31" t="s">
        <v>33</v>
      </c>
      <c r="F17" s="28" t="s">
        <v>26</v>
      </c>
      <c r="G17" s="29">
        <v>95000</v>
      </c>
      <c r="H17" s="30">
        <f t="shared" si="1"/>
        <v>2726.5</v>
      </c>
      <c r="I17" s="30">
        <f t="shared" ref="I17:I18" si="5">G17*3.04%</f>
        <v>2888</v>
      </c>
      <c r="J17" s="30">
        <f t="shared" si="0"/>
        <v>89385.5</v>
      </c>
      <c r="K17" s="30">
        <v>10929.31</v>
      </c>
      <c r="L17" s="30"/>
      <c r="M17" s="30"/>
      <c r="N17" s="30"/>
      <c r="O17" s="30">
        <v>25</v>
      </c>
      <c r="P17" s="30">
        <f t="shared" si="3"/>
        <v>16568.809999999998</v>
      </c>
      <c r="Q17" s="30">
        <f t="shared" si="4"/>
        <v>78431.19</v>
      </c>
    </row>
    <row r="18" spans="1:17" ht="55.15" customHeight="1" thickBot="1" x14ac:dyDescent="0.5">
      <c r="A18" s="25">
        <v>5</v>
      </c>
      <c r="B18" s="26">
        <v>44566</v>
      </c>
      <c r="C18" s="27" t="s">
        <v>29</v>
      </c>
      <c r="D18" s="28" t="s">
        <v>34</v>
      </c>
      <c r="E18" s="31" t="s">
        <v>35</v>
      </c>
      <c r="F18" s="28" t="s">
        <v>26</v>
      </c>
      <c r="G18" s="29">
        <v>95000</v>
      </c>
      <c r="H18" s="30">
        <f t="shared" si="1"/>
        <v>2726.5</v>
      </c>
      <c r="I18" s="30">
        <f t="shared" si="5"/>
        <v>2888</v>
      </c>
      <c r="J18" s="30">
        <f t="shared" si="0"/>
        <v>89385.5</v>
      </c>
      <c r="K18" s="30">
        <v>10929.31</v>
      </c>
      <c r="L18" s="30"/>
      <c r="M18" s="30"/>
      <c r="N18" s="30"/>
      <c r="O18" s="30">
        <v>25</v>
      </c>
      <c r="P18" s="30">
        <f t="shared" si="3"/>
        <v>16568.809999999998</v>
      </c>
      <c r="Q18" s="30">
        <f t="shared" si="4"/>
        <v>78431.19</v>
      </c>
    </row>
    <row r="19" spans="1:17" ht="66" customHeight="1" thickBot="1" x14ac:dyDescent="0.45">
      <c r="A19" s="25">
        <v>6</v>
      </c>
      <c r="B19" s="32">
        <v>44202</v>
      </c>
      <c r="C19" s="27" t="s">
        <v>23</v>
      </c>
      <c r="D19" s="28" t="s">
        <v>36</v>
      </c>
      <c r="E19" s="31" t="s">
        <v>37</v>
      </c>
      <c r="F19" s="28" t="s">
        <v>26</v>
      </c>
      <c r="G19" s="29">
        <v>200000</v>
      </c>
      <c r="H19" s="30">
        <f t="shared" si="1"/>
        <v>5740</v>
      </c>
      <c r="I19" s="30">
        <f t="shared" si="2"/>
        <v>5883.16</v>
      </c>
      <c r="J19" s="30">
        <f t="shared" si="0"/>
        <v>188376.84</v>
      </c>
      <c r="K19" s="30">
        <v>35248.21</v>
      </c>
      <c r="L19" s="30">
        <v>0</v>
      </c>
      <c r="M19" s="30">
        <v>1715.46</v>
      </c>
      <c r="N19" s="30">
        <v>17747.98</v>
      </c>
      <c r="O19" s="30">
        <v>25</v>
      </c>
      <c r="P19" s="30">
        <f>H19+I19+K19+O19+M19+N19</f>
        <v>66359.81</v>
      </c>
      <c r="Q19" s="30">
        <f t="shared" si="4"/>
        <v>133640.19</v>
      </c>
    </row>
    <row r="20" spans="1:17" ht="66" customHeight="1" thickBot="1" x14ac:dyDescent="0.5">
      <c r="A20" s="25">
        <v>7</v>
      </c>
      <c r="B20" s="32">
        <v>45293</v>
      </c>
      <c r="C20" s="27" t="s">
        <v>29</v>
      </c>
      <c r="D20" s="28" t="s">
        <v>261</v>
      </c>
      <c r="E20" s="31" t="s">
        <v>262</v>
      </c>
      <c r="F20" s="28" t="s">
        <v>26</v>
      </c>
      <c r="G20" s="29">
        <v>125000</v>
      </c>
      <c r="H20" s="30">
        <f t="shared" si="1"/>
        <v>3587.5</v>
      </c>
      <c r="I20" s="30">
        <f>G20*3.04%</f>
        <v>3800</v>
      </c>
      <c r="J20" s="30">
        <f t="shared" si="0"/>
        <v>117612.5</v>
      </c>
      <c r="K20" s="30">
        <v>17985.990000000002</v>
      </c>
      <c r="L20" s="30">
        <v>0</v>
      </c>
      <c r="M20" s="30">
        <v>0</v>
      </c>
      <c r="N20" s="30">
        <v>0</v>
      </c>
      <c r="O20" s="30">
        <v>25</v>
      </c>
      <c r="P20" s="30">
        <f>H20+I20+K20+O20+M20+N20</f>
        <v>25398.49</v>
      </c>
      <c r="Q20" s="30">
        <f t="shared" si="4"/>
        <v>99601.51</v>
      </c>
    </row>
    <row r="21" spans="1:17" ht="49.15" customHeight="1" thickBot="1" x14ac:dyDescent="0.5">
      <c r="A21" s="33"/>
      <c r="B21" s="148" t="s">
        <v>38</v>
      </c>
      <c r="C21" s="149"/>
      <c r="D21" s="149"/>
      <c r="E21" s="150"/>
      <c r="F21" s="36"/>
      <c r="G21" s="37">
        <f>SUM(G14:G20)</f>
        <v>1375000</v>
      </c>
      <c r="H21" s="37">
        <f t="shared" ref="H21:Q21" si="6">SUM(H14:H20)</f>
        <v>36220.834999999999</v>
      </c>
      <c r="I21" s="37">
        <f t="shared" si="6"/>
        <v>30569.48</v>
      </c>
      <c r="J21" s="37">
        <f t="shared" si="6"/>
        <v>1308209.6850000001</v>
      </c>
      <c r="K21" s="37">
        <f t="shared" si="6"/>
        <v>246703.75999999998</v>
      </c>
      <c r="L21" s="37">
        <f t="shared" si="6"/>
        <v>0</v>
      </c>
      <c r="M21" s="37">
        <f t="shared" si="6"/>
        <v>1715.46</v>
      </c>
      <c r="N21" s="37">
        <f t="shared" si="6"/>
        <v>29783.75</v>
      </c>
      <c r="O21" s="37">
        <f t="shared" si="6"/>
        <v>175</v>
      </c>
      <c r="P21" s="37">
        <f t="shared" si="6"/>
        <v>345168.28499999997</v>
      </c>
      <c r="Q21" s="37">
        <f t="shared" si="6"/>
        <v>1029831.7149999999</v>
      </c>
    </row>
    <row r="22" spans="1:17" ht="37.15" customHeight="1" thickBot="1" x14ac:dyDescent="0.5">
      <c r="A22" s="38"/>
      <c r="B22" s="39"/>
      <c r="C22" s="40"/>
      <c r="D22" s="40"/>
      <c r="E22" s="40"/>
      <c r="F22" s="40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3"/>
    </row>
    <row r="23" spans="1:17" ht="48.6" customHeight="1" thickBot="1" x14ac:dyDescent="0.45">
      <c r="A23" s="44"/>
      <c r="B23" s="45"/>
      <c r="C23" s="46" t="s">
        <v>39</v>
      </c>
      <c r="D23" s="47"/>
      <c r="E23" s="47"/>
      <c r="F23" s="47"/>
      <c r="G23" s="48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1:17" ht="37.5" customHeight="1" thickBot="1" x14ac:dyDescent="0.45">
      <c r="A24" s="25">
        <v>8</v>
      </c>
      <c r="B24" s="26" t="s">
        <v>22</v>
      </c>
      <c r="C24" s="27" t="s">
        <v>29</v>
      </c>
      <c r="D24" s="28" t="s">
        <v>40</v>
      </c>
      <c r="E24" s="28" t="s">
        <v>41</v>
      </c>
      <c r="F24" s="28" t="s">
        <v>26</v>
      </c>
      <c r="G24" s="29">
        <v>45000</v>
      </c>
      <c r="H24" s="30">
        <f t="shared" ref="H24:H48" si="7">+G24*2.87%</f>
        <v>1291.5</v>
      </c>
      <c r="I24" s="30">
        <f t="shared" ref="I24:I48" si="8">+G24*3.04%</f>
        <v>1368</v>
      </c>
      <c r="J24" s="30">
        <f t="shared" ref="J24:J48" si="9">G24-H24-I24</f>
        <v>42340.5</v>
      </c>
      <c r="K24" s="30">
        <v>1148.33</v>
      </c>
      <c r="L24" s="30"/>
      <c r="M24" s="30"/>
      <c r="N24" s="30"/>
      <c r="O24" s="30">
        <f>25</f>
        <v>25</v>
      </c>
      <c r="P24" s="30">
        <f t="shared" ref="P24:P48" si="10">H24+I24+K24+O24</f>
        <v>3832.83</v>
      </c>
      <c r="Q24" s="30">
        <f t="shared" ref="Q24:Q48" si="11">G24-P24</f>
        <v>41167.17</v>
      </c>
    </row>
    <row r="25" spans="1:17" ht="37.5" customHeight="1" thickBot="1" x14ac:dyDescent="0.5">
      <c r="A25" s="25">
        <v>9</v>
      </c>
      <c r="B25" s="26" t="s">
        <v>42</v>
      </c>
      <c r="C25" s="27" t="s">
        <v>23</v>
      </c>
      <c r="D25" s="28" t="s">
        <v>43</v>
      </c>
      <c r="E25" s="28" t="s">
        <v>44</v>
      </c>
      <c r="F25" s="28" t="s">
        <v>26</v>
      </c>
      <c r="G25" s="29">
        <v>30000</v>
      </c>
      <c r="H25" s="30">
        <f t="shared" si="7"/>
        <v>861</v>
      </c>
      <c r="I25" s="30">
        <f t="shared" si="8"/>
        <v>912</v>
      </c>
      <c r="J25" s="30">
        <f t="shared" si="9"/>
        <v>28227</v>
      </c>
      <c r="K25" s="30">
        <v>0</v>
      </c>
      <c r="L25" s="30"/>
      <c r="M25" s="30"/>
      <c r="N25" s="30"/>
      <c r="O25" s="30">
        <v>25</v>
      </c>
      <c r="P25" s="30">
        <f t="shared" si="10"/>
        <v>1798</v>
      </c>
      <c r="Q25" s="30">
        <f t="shared" si="11"/>
        <v>28202</v>
      </c>
    </row>
    <row r="26" spans="1:17" ht="37.5" customHeight="1" thickBot="1" x14ac:dyDescent="0.45">
      <c r="A26" s="25">
        <v>10</v>
      </c>
      <c r="B26" s="26" t="s">
        <v>42</v>
      </c>
      <c r="C26" s="27" t="s">
        <v>23</v>
      </c>
      <c r="D26" s="28" t="s">
        <v>45</v>
      </c>
      <c r="E26" s="28" t="s">
        <v>46</v>
      </c>
      <c r="F26" s="28" t="s">
        <v>26</v>
      </c>
      <c r="G26" s="29">
        <v>45000</v>
      </c>
      <c r="H26" s="30">
        <f t="shared" si="7"/>
        <v>1291.5</v>
      </c>
      <c r="I26" s="30">
        <f t="shared" si="8"/>
        <v>1368</v>
      </c>
      <c r="J26" s="30">
        <f t="shared" si="9"/>
        <v>42340.5</v>
      </c>
      <c r="K26" s="30">
        <v>1148.33</v>
      </c>
      <c r="L26" s="30"/>
      <c r="M26" s="30"/>
      <c r="N26" s="30"/>
      <c r="O26" s="30">
        <v>25</v>
      </c>
      <c r="P26" s="30">
        <f t="shared" si="10"/>
        <v>3832.83</v>
      </c>
      <c r="Q26" s="30">
        <f t="shared" si="11"/>
        <v>41167.17</v>
      </c>
    </row>
    <row r="27" spans="1:17" ht="37.5" customHeight="1" thickBot="1" x14ac:dyDescent="0.5">
      <c r="A27" s="25">
        <v>11</v>
      </c>
      <c r="B27" s="26">
        <v>43901</v>
      </c>
      <c r="C27" s="27" t="s">
        <v>29</v>
      </c>
      <c r="D27" s="50" t="s">
        <v>47</v>
      </c>
      <c r="E27" s="28" t="s">
        <v>48</v>
      </c>
      <c r="F27" s="28" t="s">
        <v>26</v>
      </c>
      <c r="G27" s="29">
        <v>45000</v>
      </c>
      <c r="H27" s="30">
        <f t="shared" si="7"/>
        <v>1291.5</v>
      </c>
      <c r="I27" s="29">
        <f t="shared" si="8"/>
        <v>1368</v>
      </c>
      <c r="J27" s="29">
        <f t="shared" si="9"/>
        <v>42340.5</v>
      </c>
      <c r="K27" s="51">
        <v>1148.33</v>
      </c>
      <c r="L27" s="51"/>
      <c r="M27" s="51"/>
      <c r="N27" s="51"/>
      <c r="O27" s="30">
        <f>25</f>
        <v>25</v>
      </c>
      <c r="P27" s="30">
        <f t="shared" si="10"/>
        <v>3832.83</v>
      </c>
      <c r="Q27" s="30">
        <f t="shared" si="11"/>
        <v>41167.17</v>
      </c>
    </row>
    <row r="28" spans="1:17" ht="37.5" customHeight="1" thickBot="1" x14ac:dyDescent="0.5">
      <c r="A28" s="25">
        <v>12</v>
      </c>
      <c r="B28" s="26">
        <v>43901</v>
      </c>
      <c r="C28" s="27" t="s">
        <v>23</v>
      </c>
      <c r="D28" s="50" t="s">
        <v>49</v>
      </c>
      <c r="E28" s="28" t="s">
        <v>50</v>
      </c>
      <c r="F28" s="28" t="s">
        <v>26</v>
      </c>
      <c r="G28" s="29">
        <v>60000</v>
      </c>
      <c r="H28" s="30">
        <f t="shared" si="7"/>
        <v>1722</v>
      </c>
      <c r="I28" s="29">
        <f t="shared" si="8"/>
        <v>1824</v>
      </c>
      <c r="J28" s="29">
        <f t="shared" si="9"/>
        <v>56454</v>
      </c>
      <c r="K28" s="51">
        <v>3486.65</v>
      </c>
      <c r="L28" s="51"/>
      <c r="M28" s="51"/>
      <c r="N28" s="51"/>
      <c r="O28" s="30">
        <f>25</f>
        <v>25</v>
      </c>
      <c r="P28" s="30">
        <f t="shared" si="10"/>
        <v>7057.65</v>
      </c>
      <c r="Q28" s="30">
        <f t="shared" si="11"/>
        <v>52942.35</v>
      </c>
    </row>
    <row r="29" spans="1:17" ht="37.5" customHeight="1" thickBot="1" x14ac:dyDescent="0.45">
      <c r="A29" s="25">
        <v>13</v>
      </c>
      <c r="B29" s="26" t="s">
        <v>51</v>
      </c>
      <c r="C29" s="27" t="s">
        <v>23</v>
      </c>
      <c r="D29" s="50" t="s">
        <v>52</v>
      </c>
      <c r="E29" s="50" t="s">
        <v>53</v>
      </c>
      <c r="F29" s="50" t="s">
        <v>26</v>
      </c>
      <c r="G29" s="29">
        <v>30000</v>
      </c>
      <c r="H29" s="30">
        <f t="shared" si="7"/>
        <v>861</v>
      </c>
      <c r="I29" s="29">
        <f t="shared" si="8"/>
        <v>912</v>
      </c>
      <c r="J29" s="29">
        <f t="shared" si="9"/>
        <v>28227</v>
      </c>
      <c r="K29" s="51">
        <v>0</v>
      </c>
      <c r="L29" s="51"/>
      <c r="M29" s="51"/>
      <c r="N29" s="51"/>
      <c r="O29" s="30">
        <v>25</v>
      </c>
      <c r="P29" s="30">
        <f t="shared" si="10"/>
        <v>1798</v>
      </c>
      <c r="Q29" s="30">
        <f t="shared" si="11"/>
        <v>28202</v>
      </c>
    </row>
    <row r="30" spans="1:17" ht="37.5" customHeight="1" thickBot="1" x14ac:dyDescent="0.5">
      <c r="A30" s="25">
        <v>14</v>
      </c>
      <c r="B30" s="32">
        <v>44204</v>
      </c>
      <c r="C30" s="27" t="s">
        <v>23</v>
      </c>
      <c r="D30" s="50" t="s">
        <v>54</v>
      </c>
      <c r="E30" s="50" t="s">
        <v>53</v>
      </c>
      <c r="F30" s="50" t="s">
        <v>26</v>
      </c>
      <c r="G30" s="29">
        <v>30000</v>
      </c>
      <c r="H30" s="30">
        <f t="shared" si="7"/>
        <v>861</v>
      </c>
      <c r="I30" s="29">
        <f t="shared" si="8"/>
        <v>912</v>
      </c>
      <c r="J30" s="29">
        <f t="shared" si="9"/>
        <v>28227</v>
      </c>
      <c r="K30" s="51">
        <v>0</v>
      </c>
      <c r="L30" s="51"/>
      <c r="M30" s="30"/>
      <c r="N30" s="30"/>
      <c r="O30" s="30">
        <v>25</v>
      </c>
      <c r="P30" s="30">
        <f t="shared" si="10"/>
        <v>1798</v>
      </c>
      <c r="Q30" s="30">
        <f t="shared" si="11"/>
        <v>28202</v>
      </c>
    </row>
    <row r="31" spans="1:17" ht="37.5" customHeight="1" thickBot="1" x14ac:dyDescent="0.5">
      <c r="A31" s="25">
        <v>15</v>
      </c>
      <c r="B31" s="32">
        <v>44205</v>
      </c>
      <c r="C31" s="27" t="s">
        <v>23</v>
      </c>
      <c r="D31" s="50" t="s">
        <v>55</v>
      </c>
      <c r="E31" s="50" t="s">
        <v>56</v>
      </c>
      <c r="F31" s="50" t="s">
        <v>26</v>
      </c>
      <c r="G31" s="29">
        <v>45000</v>
      </c>
      <c r="H31" s="30">
        <f t="shared" si="7"/>
        <v>1291.5</v>
      </c>
      <c r="I31" s="29">
        <f t="shared" si="8"/>
        <v>1368</v>
      </c>
      <c r="J31" s="29">
        <f t="shared" si="9"/>
        <v>42340.5</v>
      </c>
      <c r="K31" s="51">
        <v>1148.83</v>
      </c>
      <c r="L31" s="51"/>
      <c r="M31" s="30"/>
      <c r="N31" s="30"/>
      <c r="O31" s="30">
        <v>25</v>
      </c>
      <c r="P31" s="30">
        <f t="shared" si="10"/>
        <v>3833.33</v>
      </c>
      <c r="Q31" s="30">
        <f t="shared" si="11"/>
        <v>41166.67</v>
      </c>
    </row>
    <row r="32" spans="1:17" ht="37.5" customHeight="1" thickBot="1" x14ac:dyDescent="0.5">
      <c r="A32" s="25">
        <v>16</v>
      </c>
      <c r="B32" s="32">
        <v>44205</v>
      </c>
      <c r="C32" s="27" t="s">
        <v>29</v>
      </c>
      <c r="D32" s="50" t="s">
        <v>57</v>
      </c>
      <c r="E32" s="50" t="s">
        <v>58</v>
      </c>
      <c r="F32" s="50" t="s">
        <v>26</v>
      </c>
      <c r="G32" s="29">
        <v>30000</v>
      </c>
      <c r="H32" s="30">
        <f t="shared" si="7"/>
        <v>861</v>
      </c>
      <c r="I32" s="29">
        <f t="shared" si="8"/>
        <v>912</v>
      </c>
      <c r="J32" s="29">
        <f t="shared" si="9"/>
        <v>28227</v>
      </c>
      <c r="K32" s="51">
        <v>0</v>
      </c>
      <c r="L32" s="51"/>
      <c r="M32" s="30"/>
      <c r="N32" s="30"/>
      <c r="O32" s="30">
        <v>25</v>
      </c>
      <c r="P32" s="30">
        <f t="shared" si="10"/>
        <v>1798</v>
      </c>
      <c r="Q32" s="30">
        <f t="shared" si="11"/>
        <v>28202</v>
      </c>
    </row>
    <row r="33" spans="1:17" ht="37.5" customHeight="1" thickBot="1" x14ac:dyDescent="0.5">
      <c r="A33" s="25">
        <v>17</v>
      </c>
      <c r="B33" s="32" t="s">
        <v>59</v>
      </c>
      <c r="C33" s="27" t="s">
        <v>23</v>
      </c>
      <c r="D33" s="50" t="s">
        <v>60</v>
      </c>
      <c r="E33" s="50" t="s">
        <v>61</v>
      </c>
      <c r="F33" s="50" t="s">
        <v>26</v>
      </c>
      <c r="G33" s="29">
        <v>30000</v>
      </c>
      <c r="H33" s="30">
        <f t="shared" si="7"/>
        <v>861</v>
      </c>
      <c r="I33" s="29">
        <f t="shared" si="8"/>
        <v>912</v>
      </c>
      <c r="J33" s="29">
        <f t="shared" si="9"/>
        <v>28227</v>
      </c>
      <c r="K33" s="51">
        <v>0</v>
      </c>
      <c r="L33" s="51"/>
      <c r="M33" s="30"/>
      <c r="N33" s="30"/>
      <c r="O33" s="30">
        <v>25</v>
      </c>
      <c r="P33" s="30">
        <f t="shared" si="10"/>
        <v>1798</v>
      </c>
      <c r="Q33" s="30">
        <f t="shared" si="11"/>
        <v>28202</v>
      </c>
    </row>
    <row r="34" spans="1:17" ht="37.5" customHeight="1" thickBot="1" x14ac:dyDescent="0.5">
      <c r="A34" s="25">
        <v>18</v>
      </c>
      <c r="B34" s="32">
        <v>44206</v>
      </c>
      <c r="C34" s="27" t="s">
        <v>23</v>
      </c>
      <c r="D34" s="50" t="s">
        <v>62</v>
      </c>
      <c r="E34" s="50" t="s">
        <v>63</v>
      </c>
      <c r="F34" s="50" t="s">
        <v>26</v>
      </c>
      <c r="G34" s="29">
        <v>25000</v>
      </c>
      <c r="H34" s="30">
        <f t="shared" si="7"/>
        <v>717.5</v>
      </c>
      <c r="I34" s="29">
        <f t="shared" si="8"/>
        <v>760</v>
      </c>
      <c r="J34" s="29">
        <f t="shared" si="9"/>
        <v>23522.5</v>
      </c>
      <c r="K34" s="51">
        <v>0</v>
      </c>
      <c r="L34" s="51"/>
      <c r="M34" s="30"/>
      <c r="N34" s="30"/>
      <c r="O34" s="30">
        <v>25</v>
      </c>
      <c r="P34" s="30">
        <f t="shared" si="10"/>
        <v>1502.5</v>
      </c>
      <c r="Q34" s="30">
        <f t="shared" si="11"/>
        <v>23497.5</v>
      </c>
    </row>
    <row r="35" spans="1:17" ht="37.5" customHeight="1" thickBot="1" x14ac:dyDescent="0.5">
      <c r="A35" s="25">
        <v>19</v>
      </c>
      <c r="B35" s="32">
        <v>44206</v>
      </c>
      <c r="C35" s="27" t="s">
        <v>23</v>
      </c>
      <c r="D35" s="50" t="s">
        <v>64</v>
      </c>
      <c r="E35" s="50" t="s">
        <v>63</v>
      </c>
      <c r="F35" s="50" t="s">
        <v>26</v>
      </c>
      <c r="G35" s="29">
        <v>30000</v>
      </c>
      <c r="H35" s="30">
        <f t="shared" si="7"/>
        <v>861</v>
      </c>
      <c r="I35" s="29">
        <f t="shared" si="8"/>
        <v>912</v>
      </c>
      <c r="J35" s="29">
        <f t="shared" si="9"/>
        <v>28227</v>
      </c>
      <c r="K35" s="51">
        <v>0</v>
      </c>
      <c r="L35" s="51"/>
      <c r="M35" s="30"/>
      <c r="N35" s="30"/>
      <c r="O35" s="30">
        <v>25</v>
      </c>
      <c r="P35" s="30">
        <f t="shared" si="10"/>
        <v>1798</v>
      </c>
      <c r="Q35" s="30">
        <f t="shared" si="11"/>
        <v>28202</v>
      </c>
    </row>
    <row r="36" spans="1:17" ht="37.5" customHeight="1" thickBot="1" x14ac:dyDescent="0.5">
      <c r="A36" s="25">
        <v>20</v>
      </c>
      <c r="B36" s="32">
        <v>44206</v>
      </c>
      <c r="C36" s="27" t="s">
        <v>23</v>
      </c>
      <c r="D36" s="50" t="s">
        <v>65</v>
      </c>
      <c r="E36" s="50" t="s">
        <v>66</v>
      </c>
      <c r="F36" s="50" t="s">
        <v>26</v>
      </c>
      <c r="G36" s="29">
        <v>30000</v>
      </c>
      <c r="H36" s="30">
        <f t="shared" si="7"/>
        <v>861</v>
      </c>
      <c r="I36" s="29">
        <f t="shared" si="8"/>
        <v>912</v>
      </c>
      <c r="J36" s="29">
        <f t="shared" si="9"/>
        <v>28227</v>
      </c>
      <c r="K36" s="51">
        <v>0</v>
      </c>
      <c r="L36" s="51"/>
      <c r="M36" s="30"/>
      <c r="N36" s="30"/>
      <c r="O36" s="30">
        <f>25</f>
        <v>25</v>
      </c>
      <c r="P36" s="30">
        <f t="shared" si="10"/>
        <v>1798</v>
      </c>
      <c r="Q36" s="30">
        <f t="shared" si="11"/>
        <v>28202</v>
      </c>
    </row>
    <row r="37" spans="1:17" ht="37.5" customHeight="1" thickBot="1" x14ac:dyDescent="0.5">
      <c r="A37" s="25">
        <v>21</v>
      </c>
      <c r="B37" s="32">
        <v>44206</v>
      </c>
      <c r="C37" s="27" t="s">
        <v>29</v>
      </c>
      <c r="D37" s="50" t="s">
        <v>67</v>
      </c>
      <c r="E37" s="50" t="s">
        <v>58</v>
      </c>
      <c r="F37" s="50" t="s">
        <v>26</v>
      </c>
      <c r="G37" s="29">
        <v>30000</v>
      </c>
      <c r="H37" s="30">
        <f t="shared" si="7"/>
        <v>861</v>
      </c>
      <c r="I37" s="29">
        <f t="shared" si="8"/>
        <v>912</v>
      </c>
      <c r="J37" s="29">
        <f t="shared" si="9"/>
        <v>28227</v>
      </c>
      <c r="K37" s="51">
        <v>0</v>
      </c>
      <c r="L37" s="51"/>
      <c r="M37" s="30"/>
      <c r="N37" s="30"/>
      <c r="O37" s="30">
        <v>25</v>
      </c>
      <c r="P37" s="30">
        <f t="shared" si="10"/>
        <v>1798</v>
      </c>
      <c r="Q37" s="30">
        <f t="shared" si="11"/>
        <v>28202</v>
      </c>
    </row>
    <row r="38" spans="1:17" ht="37.5" customHeight="1" thickBot="1" x14ac:dyDescent="0.45">
      <c r="A38" s="25">
        <v>22</v>
      </c>
      <c r="B38" s="32">
        <v>44206</v>
      </c>
      <c r="C38" s="27" t="s">
        <v>23</v>
      </c>
      <c r="D38" s="50" t="s">
        <v>68</v>
      </c>
      <c r="E38" s="50" t="s">
        <v>69</v>
      </c>
      <c r="F38" s="50" t="s">
        <v>26</v>
      </c>
      <c r="G38" s="29">
        <v>30000</v>
      </c>
      <c r="H38" s="30">
        <f t="shared" si="7"/>
        <v>861</v>
      </c>
      <c r="I38" s="29">
        <f t="shared" si="8"/>
        <v>912</v>
      </c>
      <c r="J38" s="29">
        <f t="shared" si="9"/>
        <v>28227</v>
      </c>
      <c r="K38" s="51">
        <v>0</v>
      </c>
      <c r="L38" s="51"/>
      <c r="M38" s="30"/>
      <c r="N38" s="30"/>
      <c r="O38" s="30">
        <v>25</v>
      </c>
      <c r="P38" s="30">
        <f t="shared" si="10"/>
        <v>1798</v>
      </c>
      <c r="Q38" s="30">
        <f t="shared" si="11"/>
        <v>28202</v>
      </c>
    </row>
    <row r="39" spans="1:17" ht="37.5" customHeight="1" thickBot="1" x14ac:dyDescent="0.45">
      <c r="A39" s="25">
        <v>23</v>
      </c>
      <c r="B39" s="32">
        <v>44206</v>
      </c>
      <c r="C39" s="27" t="s">
        <v>29</v>
      </c>
      <c r="D39" s="50" t="s">
        <v>70</v>
      </c>
      <c r="E39" s="50" t="s">
        <v>58</v>
      </c>
      <c r="F39" s="50" t="s">
        <v>26</v>
      </c>
      <c r="G39" s="29">
        <v>30000</v>
      </c>
      <c r="H39" s="30">
        <f t="shared" si="7"/>
        <v>861</v>
      </c>
      <c r="I39" s="29">
        <f t="shared" si="8"/>
        <v>912</v>
      </c>
      <c r="J39" s="29">
        <f t="shared" si="9"/>
        <v>28227</v>
      </c>
      <c r="K39" s="51">
        <v>0</v>
      </c>
      <c r="L39" s="51"/>
      <c r="M39" s="30"/>
      <c r="N39" s="30"/>
      <c r="O39" s="30">
        <f>25</f>
        <v>25</v>
      </c>
      <c r="P39" s="30">
        <f t="shared" si="10"/>
        <v>1798</v>
      </c>
      <c r="Q39" s="30">
        <f t="shared" si="11"/>
        <v>28202</v>
      </c>
    </row>
    <row r="40" spans="1:17" ht="37.5" customHeight="1" thickBot="1" x14ac:dyDescent="0.5">
      <c r="A40" s="25">
        <v>24</v>
      </c>
      <c r="B40" s="32">
        <v>44206</v>
      </c>
      <c r="C40" s="27" t="s">
        <v>29</v>
      </c>
      <c r="D40" s="50" t="s">
        <v>71</v>
      </c>
      <c r="E40" s="50" t="s">
        <v>58</v>
      </c>
      <c r="F40" s="50" t="s">
        <v>26</v>
      </c>
      <c r="G40" s="29">
        <v>30000</v>
      </c>
      <c r="H40" s="30">
        <f t="shared" si="7"/>
        <v>861</v>
      </c>
      <c r="I40" s="29">
        <f t="shared" si="8"/>
        <v>912</v>
      </c>
      <c r="J40" s="29">
        <f t="shared" si="9"/>
        <v>28227</v>
      </c>
      <c r="K40" s="51">
        <v>0</v>
      </c>
      <c r="L40" s="51"/>
      <c r="M40" s="30"/>
      <c r="N40" s="30"/>
      <c r="O40" s="30">
        <v>25</v>
      </c>
      <c r="P40" s="30">
        <f t="shared" si="10"/>
        <v>1798</v>
      </c>
      <c r="Q40" s="30">
        <f t="shared" si="11"/>
        <v>28202</v>
      </c>
    </row>
    <row r="41" spans="1:17" ht="37.5" customHeight="1" thickBot="1" x14ac:dyDescent="0.5">
      <c r="A41" s="25">
        <v>25</v>
      </c>
      <c r="B41" s="32" t="s">
        <v>72</v>
      </c>
      <c r="C41" s="27" t="s">
        <v>23</v>
      </c>
      <c r="D41" s="50" t="s">
        <v>73</v>
      </c>
      <c r="E41" s="50" t="s">
        <v>61</v>
      </c>
      <c r="F41" s="50" t="s">
        <v>26</v>
      </c>
      <c r="G41" s="29">
        <v>30000</v>
      </c>
      <c r="H41" s="30">
        <f t="shared" si="7"/>
        <v>861</v>
      </c>
      <c r="I41" s="29">
        <f t="shared" si="8"/>
        <v>912</v>
      </c>
      <c r="J41" s="29">
        <f t="shared" si="9"/>
        <v>28227</v>
      </c>
      <c r="K41" s="51">
        <v>0</v>
      </c>
      <c r="L41" s="51"/>
      <c r="M41" s="30"/>
      <c r="N41" s="30"/>
      <c r="O41" s="30">
        <v>25</v>
      </c>
      <c r="P41" s="30">
        <f t="shared" si="10"/>
        <v>1798</v>
      </c>
      <c r="Q41" s="30">
        <f t="shared" si="11"/>
        <v>28202</v>
      </c>
    </row>
    <row r="42" spans="1:17" ht="37.5" customHeight="1" thickBot="1" x14ac:dyDescent="0.5">
      <c r="A42" s="25">
        <v>26</v>
      </c>
      <c r="B42" s="32" t="s">
        <v>72</v>
      </c>
      <c r="C42" s="27" t="s">
        <v>23</v>
      </c>
      <c r="D42" s="50" t="s">
        <v>74</v>
      </c>
      <c r="E42" s="50" t="s">
        <v>61</v>
      </c>
      <c r="F42" s="50" t="s">
        <v>26</v>
      </c>
      <c r="G42" s="29">
        <v>30000</v>
      </c>
      <c r="H42" s="30">
        <f t="shared" si="7"/>
        <v>861</v>
      </c>
      <c r="I42" s="29">
        <f t="shared" si="8"/>
        <v>912</v>
      </c>
      <c r="J42" s="29">
        <f t="shared" si="9"/>
        <v>28227</v>
      </c>
      <c r="K42" s="51">
        <v>0</v>
      </c>
      <c r="L42" s="51"/>
      <c r="M42" s="30"/>
      <c r="N42" s="30"/>
      <c r="O42" s="30">
        <f>25</f>
        <v>25</v>
      </c>
      <c r="P42" s="30">
        <f t="shared" si="10"/>
        <v>1798</v>
      </c>
      <c r="Q42" s="30">
        <f t="shared" si="11"/>
        <v>28202</v>
      </c>
    </row>
    <row r="43" spans="1:17" ht="37.5" customHeight="1" thickBot="1" x14ac:dyDescent="0.5">
      <c r="A43" s="25">
        <v>27</v>
      </c>
      <c r="B43" s="32">
        <v>44872</v>
      </c>
      <c r="C43" s="27" t="s">
        <v>23</v>
      </c>
      <c r="D43" s="50" t="s">
        <v>75</v>
      </c>
      <c r="E43" s="50" t="s">
        <v>58</v>
      </c>
      <c r="F43" s="50" t="s">
        <v>26</v>
      </c>
      <c r="G43" s="29">
        <v>30000</v>
      </c>
      <c r="H43" s="30">
        <f t="shared" si="7"/>
        <v>861</v>
      </c>
      <c r="I43" s="29">
        <f t="shared" si="8"/>
        <v>912</v>
      </c>
      <c r="J43" s="29">
        <f t="shared" si="9"/>
        <v>28227</v>
      </c>
      <c r="K43" s="51">
        <v>0</v>
      </c>
      <c r="L43" s="51"/>
      <c r="M43" s="30"/>
      <c r="N43" s="30"/>
      <c r="O43" s="30">
        <v>25</v>
      </c>
      <c r="P43" s="30">
        <f t="shared" si="10"/>
        <v>1798</v>
      </c>
      <c r="Q43" s="30">
        <f t="shared" si="11"/>
        <v>28202</v>
      </c>
    </row>
    <row r="44" spans="1:17" ht="37.5" customHeight="1" thickBot="1" x14ac:dyDescent="0.5">
      <c r="A44" s="25">
        <v>28</v>
      </c>
      <c r="B44" s="32">
        <v>44565</v>
      </c>
      <c r="C44" s="27" t="s">
        <v>23</v>
      </c>
      <c r="D44" s="50" t="s">
        <v>76</v>
      </c>
      <c r="E44" s="50" t="s">
        <v>61</v>
      </c>
      <c r="F44" s="50" t="s">
        <v>26</v>
      </c>
      <c r="G44" s="29">
        <v>30000</v>
      </c>
      <c r="H44" s="30">
        <f t="shared" si="7"/>
        <v>861</v>
      </c>
      <c r="I44" s="29">
        <f t="shared" si="8"/>
        <v>912</v>
      </c>
      <c r="J44" s="29">
        <f t="shared" si="9"/>
        <v>28227</v>
      </c>
      <c r="K44" s="51">
        <v>0</v>
      </c>
      <c r="L44" s="51"/>
      <c r="M44" s="30"/>
      <c r="N44" s="30"/>
      <c r="O44" s="30">
        <v>25</v>
      </c>
      <c r="P44" s="30">
        <f t="shared" si="10"/>
        <v>1798</v>
      </c>
      <c r="Q44" s="30">
        <f t="shared" si="11"/>
        <v>28202</v>
      </c>
    </row>
    <row r="45" spans="1:17" ht="37.5" customHeight="1" thickBot="1" x14ac:dyDescent="0.5">
      <c r="A45" s="25">
        <v>29</v>
      </c>
      <c r="B45" s="32">
        <v>44931</v>
      </c>
      <c r="C45" s="27" t="s">
        <v>23</v>
      </c>
      <c r="D45" s="50" t="s">
        <v>77</v>
      </c>
      <c r="E45" s="50" t="s">
        <v>61</v>
      </c>
      <c r="F45" s="50" t="s">
        <v>26</v>
      </c>
      <c r="G45" s="29">
        <v>30000</v>
      </c>
      <c r="H45" s="30">
        <f t="shared" si="7"/>
        <v>861</v>
      </c>
      <c r="I45" s="29">
        <f t="shared" si="8"/>
        <v>912</v>
      </c>
      <c r="J45" s="29">
        <f t="shared" si="9"/>
        <v>28227</v>
      </c>
      <c r="K45" s="51">
        <v>0</v>
      </c>
      <c r="L45" s="51"/>
      <c r="M45" s="30"/>
      <c r="N45" s="30"/>
      <c r="O45" s="30">
        <v>25</v>
      </c>
      <c r="P45" s="30">
        <f t="shared" si="10"/>
        <v>1798</v>
      </c>
      <c r="Q45" s="30">
        <f t="shared" si="11"/>
        <v>28202</v>
      </c>
    </row>
    <row r="46" spans="1:17" ht="37.5" customHeight="1" thickBot="1" x14ac:dyDescent="0.5">
      <c r="A46" s="25">
        <v>30</v>
      </c>
      <c r="B46" s="32">
        <v>44931</v>
      </c>
      <c r="C46" s="27" t="s">
        <v>29</v>
      </c>
      <c r="D46" s="50" t="s">
        <v>78</v>
      </c>
      <c r="E46" s="50" t="s">
        <v>58</v>
      </c>
      <c r="F46" s="50" t="s">
        <v>26</v>
      </c>
      <c r="G46" s="29">
        <v>30000</v>
      </c>
      <c r="H46" s="30">
        <f t="shared" si="7"/>
        <v>861</v>
      </c>
      <c r="I46" s="29">
        <f t="shared" si="8"/>
        <v>912</v>
      </c>
      <c r="J46" s="29">
        <f t="shared" si="9"/>
        <v>28227</v>
      </c>
      <c r="K46" s="51">
        <v>0</v>
      </c>
      <c r="L46" s="51"/>
      <c r="M46" s="30"/>
      <c r="N46" s="30"/>
      <c r="O46" s="30">
        <f>25</f>
        <v>25</v>
      </c>
      <c r="P46" s="30">
        <f t="shared" si="10"/>
        <v>1798</v>
      </c>
      <c r="Q46" s="30">
        <f t="shared" si="11"/>
        <v>28202</v>
      </c>
    </row>
    <row r="47" spans="1:17" ht="37.5" customHeight="1" thickBot="1" x14ac:dyDescent="0.5">
      <c r="A47" s="25">
        <v>31</v>
      </c>
      <c r="B47" s="32">
        <v>44937</v>
      </c>
      <c r="C47" s="27" t="s">
        <v>29</v>
      </c>
      <c r="D47" s="50" t="s">
        <v>79</v>
      </c>
      <c r="E47" s="50" t="s">
        <v>80</v>
      </c>
      <c r="F47" s="50" t="s">
        <v>26</v>
      </c>
      <c r="G47" s="29">
        <v>45000</v>
      </c>
      <c r="H47" s="30">
        <f t="shared" si="7"/>
        <v>1291.5</v>
      </c>
      <c r="I47" s="29">
        <f t="shared" si="8"/>
        <v>1368</v>
      </c>
      <c r="J47" s="29">
        <f t="shared" si="9"/>
        <v>42340.5</v>
      </c>
      <c r="K47" s="51">
        <v>1148.33</v>
      </c>
      <c r="L47" s="51"/>
      <c r="M47" s="30"/>
      <c r="N47" s="30"/>
      <c r="O47" s="30">
        <v>25</v>
      </c>
      <c r="P47" s="30">
        <f t="shared" si="10"/>
        <v>3832.83</v>
      </c>
      <c r="Q47" s="30">
        <f t="shared" si="11"/>
        <v>41167.17</v>
      </c>
    </row>
    <row r="48" spans="1:17" ht="37.5" customHeight="1" thickBot="1" x14ac:dyDescent="0.45">
      <c r="A48" s="25">
        <v>32</v>
      </c>
      <c r="B48" s="32">
        <v>44938</v>
      </c>
      <c r="C48" s="27" t="s">
        <v>23</v>
      </c>
      <c r="D48" s="50" t="s">
        <v>81</v>
      </c>
      <c r="E48" s="50" t="s">
        <v>82</v>
      </c>
      <c r="F48" s="50" t="s">
        <v>26</v>
      </c>
      <c r="G48" s="29">
        <v>45000</v>
      </c>
      <c r="H48" s="30">
        <f t="shared" si="7"/>
        <v>1291.5</v>
      </c>
      <c r="I48" s="29">
        <f t="shared" si="8"/>
        <v>1368</v>
      </c>
      <c r="J48" s="29">
        <f t="shared" si="9"/>
        <v>42340.5</v>
      </c>
      <c r="K48" s="51">
        <v>1148.33</v>
      </c>
      <c r="L48" s="51"/>
      <c r="M48" s="30"/>
      <c r="N48" s="30"/>
      <c r="O48" s="30">
        <v>25</v>
      </c>
      <c r="P48" s="30">
        <f t="shared" si="10"/>
        <v>3832.83</v>
      </c>
      <c r="Q48" s="30">
        <f t="shared" si="11"/>
        <v>41167.17</v>
      </c>
    </row>
    <row r="49" spans="1:17" ht="49.15" customHeight="1" thickBot="1" x14ac:dyDescent="0.45">
      <c r="A49" s="52"/>
      <c r="B49" s="148" t="s">
        <v>38</v>
      </c>
      <c r="C49" s="149" t="s">
        <v>83</v>
      </c>
      <c r="D49" s="149"/>
      <c r="E49" s="150"/>
      <c r="F49" s="53"/>
      <c r="G49" s="54">
        <f t="shared" ref="G49:Q49" si="12">SUM(G24:G48)</f>
        <v>865000</v>
      </c>
      <c r="H49" s="54">
        <f t="shared" si="12"/>
        <v>24825.5</v>
      </c>
      <c r="I49" s="54">
        <f t="shared" si="12"/>
        <v>26296</v>
      </c>
      <c r="J49" s="54">
        <f t="shared" si="12"/>
        <v>813878.5</v>
      </c>
      <c r="K49" s="54">
        <f t="shared" si="12"/>
        <v>10377.129999999999</v>
      </c>
      <c r="L49" s="54">
        <f t="shared" si="12"/>
        <v>0</v>
      </c>
      <c r="M49" s="54">
        <f t="shared" si="12"/>
        <v>0</v>
      </c>
      <c r="N49" s="54">
        <f t="shared" si="12"/>
        <v>0</v>
      </c>
      <c r="O49" s="54">
        <f t="shared" si="12"/>
        <v>625</v>
      </c>
      <c r="P49" s="54">
        <f t="shared" si="12"/>
        <v>62123.630000000005</v>
      </c>
      <c r="Q49" s="54">
        <f t="shared" si="12"/>
        <v>802876.37000000011</v>
      </c>
    </row>
    <row r="50" spans="1:17" ht="37.5" customHeight="1" x14ac:dyDescent="0.25">
      <c r="A50" s="151"/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1"/>
    </row>
    <row r="51" spans="1:17" ht="37.5" customHeight="1" thickBot="1" x14ac:dyDescent="0.3">
      <c r="A51" s="152"/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2"/>
    </row>
    <row r="52" spans="1:17" ht="49.9" customHeight="1" thickBot="1" x14ac:dyDescent="0.45">
      <c r="A52" s="52"/>
      <c r="B52" s="148" t="s">
        <v>84</v>
      </c>
      <c r="C52" s="149"/>
      <c r="D52" s="149"/>
      <c r="E52" s="150"/>
      <c r="F52" s="55"/>
      <c r="G52" s="54">
        <f>G49+G21</f>
        <v>2240000</v>
      </c>
      <c r="H52" s="54">
        <f>H49+H21</f>
        <v>61046.334999999999</v>
      </c>
      <c r="I52" s="54">
        <f>I49+I21</f>
        <v>56865.479999999996</v>
      </c>
      <c r="J52" s="54">
        <f>J49+J21</f>
        <v>2122088.1850000001</v>
      </c>
      <c r="K52" s="54">
        <f>K49+K21</f>
        <v>257080.88999999998</v>
      </c>
      <c r="L52" s="54"/>
      <c r="M52" s="54">
        <f>M49+M21</f>
        <v>1715.46</v>
      </c>
      <c r="N52" s="54">
        <f>N49+N21</f>
        <v>29783.75</v>
      </c>
      <c r="O52" s="54">
        <f>O49+O21</f>
        <v>800</v>
      </c>
      <c r="P52" s="54">
        <f>P49+P21</f>
        <v>407291.91499999998</v>
      </c>
      <c r="Q52" s="56">
        <f>Q49+Q21</f>
        <v>1832708.085</v>
      </c>
    </row>
    <row r="53" spans="1:17" ht="37.5" customHeight="1" x14ac:dyDescent="0.35">
      <c r="C53" s="3"/>
      <c r="D53" s="57"/>
      <c r="E53" s="3"/>
      <c r="F53" s="3"/>
      <c r="G53" s="3"/>
      <c r="H53" s="3"/>
      <c r="I53" s="3"/>
      <c r="J53" s="3"/>
      <c r="K53" s="3"/>
      <c r="L53" s="3"/>
      <c r="M53" s="3"/>
      <c r="N53" s="3"/>
      <c r="O53" s="58"/>
      <c r="P53" s="3"/>
      <c r="Q53" s="138"/>
    </row>
    <row r="54" spans="1:17" ht="37.5" customHeight="1" x14ac:dyDescent="0.35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37.5" customHeight="1" x14ac:dyDescent="0.45">
      <c r="C55" s="3"/>
      <c r="D55" s="3"/>
      <c r="E55" s="3"/>
      <c r="F55" s="3"/>
      <c r="G55" s="9"/>
      <c r="H55" s="10"/>
      <c r="I55" s="3"/>
      <c r="J55" s="3"/>
      <c r="K55" s="59"/>
      <c r="L55" s="59"/>
      <c r="M55" s="59"/>
      <c r="N55" s="59"/>
      <c r="O55" s="60"/>
      <c r="P55" s="3"/>
      <c r="Q55" s="61"/>
    </row>
    <row r="56" spans="1:17" ht="48" customHeight="1" x14ac:dyDescent="0.3">
      <c r="C56" s="3"/>
      <c r="D56" s="3"/>
      <c r="E56" s="62" t="s">
        <v>85</v>
      </c>
      <c r="H56" s="3"/>
      <c r="I56" s="147" t="s">
        <v>86</v>
      </c>
      <c r="J56" s="147"/>
      <c r="K56" s="147"/>
      <c r="L56" s="62"/>
      <c r="M56" s="3"/>
      <c r="N56" s="3"/>
      <c r="O56" s="3"/>
      <c r="P56" s="60"/>
      <c r="Q56" s="3"/>
    </row>
    <row r="57" spans="1:17" ht="50.45" customHeight="1" x14ac:dyDescent="0.3">
      <c r="D57" s="63"/>
      <c r="E57" s="62" t="s">
        <v>87</v>
      </c>
      <c r="H57" s="64"/>
      <c r="I57" s="147" t="s">
        <v>88</v>
      </c>
      <c r="J57" s="147"/>
      <c r="K57" s="147"/>
      <c r="L57" s="62"/>
      <c r="M57" s="65"/>
      <c r="N57" s="66"/>
      <c r="O57" s="3"/>
      <c r="P57" s="3"/>
      <c r="Q57" s="3"/>
    </row>
    <row r="58" spans="1:17" ht="37.5" customHeight="1" x14ac:dyDescent="0.4">
      <c r="C58" s="67"/>
      <c r="D58" s="68"/>
      <c r="E58" s="68"/>
      <c r="F58" s="68"/>
      <c r="G58" s="69"/>
    </row>
    <row r="59" spans="1:17" ht="37.5" customHeight="1" x14ac:dyDescent="0.4">
      <c r="C59" s="67"/>
      <c r="D59" s="68"/>
      <c r="E59" s="70"/>
      <c r="F59" s="70"/>
      <c r="G59" s="71"/>
    </row>
    <row r="60" spans="1:17" ht="37.5" customHeight="1" x14ac:dyDescent="0.4">
      <c r="C60" s="67"/>
      <c r="D60" s="72"/>
      <c r="E60" s="67"/>
      <c r="F60" s="67"/>
      <c r="G60" s="69"/>
    </row>
    <row r="61" spans="1:17" ht="37.5" customHeight="1" x14ac:dyDescent="0.4">
      <c r="C61" s="67"/>
      <c r="D61" s="63"/>
      <c r="E61" s="63"/>
      <c r="F61" s="63"/>
      <c r="G61" s="63"/>
      <c r="H61" s="63"/>
      <c r="I61" s="63"/>
      <c r="J61" s="63"/>
      <c r="K61" s="63"/>
      <c r="L61" s="63"/>
      <c r="M61" s="73"/>
      <c r="N61" s="65"/>
    </row>
    <row r="62" spans="1:17" ht="37.5" customHeight="1" x14ac:dyDescent="0.4">
      <c r="C62" s="67"/>
      <c r="D62" s="68"/>
      <c r="E62" s="68"/>
      <c r="F62" s="68"/>
      <c r="G62" s="74"/>
      <c r="H62" s="63"/>
      <c r="I62" s="63"/>
      <c r="J62" s="63"/>
      <c r="K62" s="63"/>
      <c r="L62" s="63"/>
      <c r="M62" s="73"/>
      <c r="N62" s="65"/>
    </row>
    <row r="63" spans="1:17" ht="37.5" customHeight="1" x14ac:dyDescent="0.4">
      <c r="C63" s="67"/>
      <c r="D63" s="68"/>
      <c r="E63" s="68"/>
      <c r="F63" s="68"/>
      <c r="G63" s="74"/>
      <c r="H63" s="63"/>
      <c r="I63" s="63"/>
      <c r="J63" s="63"/>
      <c r="K63" s="63"/>
      <c r="L63" s="63"/>
      <c r="M63" s="73"/>
      <c r="N63" s="65"/>
    </row>
    <row r="64" spans="1:17" ht="37.5" customHeight="1" x14ac:dyDescent="0.4">
      <c r="C64" s="67"/>
      <c r="D64" s="68"/>
      <c r="E64" s="68"/>
      <c r="F64" s="68"/>
      <c r="G64" s="63"/>
    </row>
  </sheetData>
  <protectedRanges>
    <protectedRange sqref="C14" name="Data_7_1_1"/>
  </protectedRanges>
  <autoFilter ref="A12:Q12" xr:uid="{9F39948D-E9A9-49CF-B972-9BAF74CA9669}"/>
  <mergeCells count="13">
    <mergeCell ref="B13:D13"/>
    <mergeCell ref="I57:K57"/>
    <mergeCell ref="B21:E21"/>
    <mergeCell ref="B49:E49"/>
    <mergeCell ref="A50:A51"/>
    <mergeCell ref="B50:Q51"/>
    <mergeCell ref="B52:E52"/>
    <mergeCell ref="I56:K56"/>
    <mergeCell ref="G4:I4"/>
    <mergeCell ref="G5:I5"/>
    <mergeCell ref="G6:I6"/>
    <mergeCell ref="H11:I11"/>
    <mergeCell ref="J11:O11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83B0-587D-4BB3-9464-FFF4796DAC8D}">
  <dimension ref="A1:S116"/>
  <sheetViews>
    <sheetView showGridLines="0" topLeftCell="A36" zoomScale="39" zoomScaleNormal="39" zoomScaleSheetLayoutView="49" workbookViewId="0">
      <pane xSplit="6" topLeftCell="O1" activePane="topRight" state="frozen"/>
      <selection pane="topRight" activeCell="K112" sqref="K112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5">
      <c r="D3" s="2"/>
      <c r="E3" s="2"/>
      <c r="F3" s="2"/>
      <c r="G3" s="2"/>
      <c r="H3" s="3"/>
      <c r="I3" s="4"/>
      <c r="J3" s="3"/>
      <c r="K3" s="2"/>
      <c r="L3" s="2"/>
      <c r="M3" s="2"/>
      <c r="N3" s="2"/>
      <c r="O3" s="2"/>
      <c r="P3" s="2"/>
      <c r="Q3" s="2"/>
      <c r="R3" s="2"/>
      <c r="S3" s="3"/>
    </row>
    <row r="4" spans="1:19" ht="34.9" customHeight="1" x14ac:dyDescent="0.4">
      <c r="D4" s="2"/>
      <c r="E4" s="2"/>
      <c r="F4" s="4" t="s">
        <v>89</v>
      </c>
      <c r="G4" s="2"/>
      <c r="H4" s="3"/>
      <c r="I4" s="4"/>
      <c r="J4" s="3"/>
      <c r="K4" s="2"/>
      <c r="L4" s="2"/>
      <c r="M4" s="2"/>
      <c r="N4" s="2"/>
      <c r="O4" s="2"/>
      <c r="P4" s="2"/>
      <c r="Q4" s="2"/>
      <c r="R4" s="2"/>
      <c r="S4" s="3"/>
    </row>
    <row r="5" spans="1:19" ht="37.5" customHeight="1" x14ac:dyDescent="0.45">
      <c r="D5" s="5"/>
      <c r="E5" s="5"/>
      <c r="F5" s="76" t="s">
        <v>90</v>
      </c>
      <c r="G5" s="5"/>
      <c r="H5" s="3"/>
      <c r="I5" s="7"/>
      <c r="J5" s="3"/>
      <c r="K5" s="5"/>
      <c r="L5" s="5"/>
      <c r="M5" s="5"/>
      <c r="N5" s="5"/>
      <c r="O5" s="5"/>
      <c r="P5" s="5"/>
      <c r="Q5" s="5"/>
      <c r="R5" s="5"/>
      <c r="S5" s="3"/>
    </row>
    <row r="6" spans="1:19" ht="37.5" customHeight="1" x14ac:dyDescent="0.45">
      <c r="D6" s="6"/>
      <c r="E6" s="6"/>
      <c r="F6" s="7" t="s">
        <v>259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3"/>
    </row>
    <row r="7" spans="1:19" ht="37.5" customHeight="1" x14ac:dyDescent="0.45">
      <c r="D7" s="7"/>
      <c r="E7" s="7"/>
      <c r="F7" s="7"/>
      <c r="G7" s="7"/>
      <c r="I7" s="7"/>
      <c r="L7" s="7"/>
      <c r="M7" s="7"/>
      <c r="N7" s="7"/>
      <c r="O7" s="8"/>
      <c r="P7" s="8"/>
      <c r="Q7" s="8"/>
      <c r="R7" s="7"/>
      <c r="S7" s="3"/>
    </row>
    <row r="8" spans="1:19" ht="37.5" customHeight="1" thickBot="1" x14ac:dyDescent="0.5">
      <c r="D8" s="3"/>
      <c r="E8" s="3"/>
      <c r="F8" s="3"/>
      <c r="G8" s="3"/>
      <c r="H8" s="77"/>
      <c r="I8" s="3"/>
      <c r="J8" s="3"/>
      <c r="K8" s="3"/>
      <c r="L8" s="9"/>
      <c r="M8" s="9"/>
      <c r="N8" s="9"/>
      <c r="O8" s="10"/>
      <c r="P8" s="8"/>
      <c r="Q8" s="8"/>
      <c r="R8" s="3"/>
      <c r="S8" s="3"/>
    </row>
    <row r="9" spans="1:19" ht="37.5" customHeight="1" thickBot="1" x14ac:dyDescent="0.45">
      <c r="D9" s="11"/>
      <c r="E9" s="12"/>
      <c r="F9" s="12"/>
      <c r="G9" s="12"/>
      <c r="H9" s="13" t="s">
        <v>2</v>
      </c>
      <c r="I9" s="141" t="s">
        <v>91</v>
      </c>
      <c r="J9" s="142"/>
      <c r="K9" s="143" t="s">
        <v>4</v>
      </c>
      <c r="L9" s="143"/>
      <c r="M9" s="143"/>
      <c r="N9" s="143"/>
      <c r="O9" s="143"/>
      <c r="P9" s="142"/>
      <c r="Q9" s="78"/>
      <c r="S9" s="14"/>
    </row>
    <row r="10" spans="1:19" ht="126.6" customHeight="1" thickBot="1" x14ac:dyDescent="0.3">
      <c r="A10" s="15" t="s">
        <v>5</v>
      </c>
      <c r="B10" s="15" t="s">
        <v>6</v>
      </c>
      <c r="C10" s="15" t="s">
        <v>92</v>
      </c>
      <c r="D10" s="15" t="s">
        <v>7</v>
      </c>
      <c r="E10" s="15" t="s">
        <v>8</v>
      </c>
      <c r="F10" s="16" t="s">
        <v>93</v>
      </c>
      <c r="G10" s="16" t="s">
        <v>10</v>
      </c>
      <c r="H10" s="16" t="s">
        <v>11</v>
      </c>
      <c r="I10" s="17" t="s">
        <v>94</v>
      </c>
      <c r="J10" s="16" t="s">
        <v>95</v>
      </c>
      <c r="K10" s="16" t="s">
        <v>14</v>
      </c>
      <c r="L10" s="16" t="s">
        <v>96</v>
      </c>
      <c r="M10" s="18" t="s">
        <v>16</v>
      </c>
      <c r="N10" s="15" t="s">
        <v>97</v>
      </c>
      <c r="O10" s="17" t="s">
        <v>98</v>
      </c>
      <c r="P10" s="19" t="s">
        <v>99</v>
      </c>
      <c r="Q10" s="19" t="s">
        <v>100</v>
      </c>
      <c r="R10" s="16" t="s">
        <v>19</v>
      </c>
      <c r="S10" s="17" t="s">
        <v>20</v>
      </c>
    </row>
    <row r="11" spans="1:19" ht="48.6" customHeight="1" thickBot="1" x14ac:dyDescent="0.45">
      <c r="A11" s="25"/>
      <c r="B11" s="79" t="s">
        <v>101</v>
      </c>
      <c r="C11" s="80"/>
      <c r="D11" s="80"/>
      <c r="E11" s="80"/>
      <c r="F11" s="81"/>
      <c r="G11" s="28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37.15" customHeight="1" thickBot="1" x14ac:dyDescent="0.45">
      <c r="A12" s="25">
        <v>1</v>
      </c>
      <c r="B12" s="26" t="s">
        <v>102</v>
      </c>
      <c r="C12" s="26">
        <v>45293</v>
      </c>
      <c r="D12" s="27" t="s">
        <v>29</v>
      </c>
      <c r="E12" s="28" t="s">
        <v>103</v>
      </c>
      <c r="F12" s="28" t="s">
        <v>104</v>
      </c>
      <c r="G12" s="27" t="s">
        <v>105</v>
      </c>
      <c r="H12" s="29">
        <v>225000</v>
      </c>
      <c r="I12" s="30">
        <f t="shared" ref="I12:I16" si="0">+H12*2.87%</f>
        <v>6457.5</v>
      </c>
      <c r="J12" s="30">
        <f>193525*3.04%</f>
        <v>5883.16</v>
      </c>
      <c r="K12" s="30">
        <f>H12-I12-J12</f>
        <v>212659.34</v>
      </c>
      <c r="L12" s="51">
        <v>41797.19</v>
      </c>
      <c r="M12" s="51"/>
      <c r="N12" s="30"/>
      <c r="O12" s="30">
        <v>25</v>
      </c>
      <c r="P12" s="30"/>
      <c r="Q12" s="30"/>
      <c r="R12" s="30">
        <f>I12+J12+L12+N12+O12+P12</f>
        <v>54162.850000000006</v>
      </c>
      <c r="S12" s="51">
        <f>H12-R12</f>
        <v>170837.15</v>
      </c>
    </row>
    <row r="13" spans="1:19" ht="62.45" customHeight="1" thickBot="1" x14ac:dyDescent="0.45">
      <c r="A13" s="25">
        <v>2</v>
      </c>
      <c r="B13" s="26">
        <v>44199</v>
      </c>
      <c r="C13" s="26">
        <v>45293</v>
      </c>
      <c r="D13" s="27" t="s">
        <v>29</v>
      </c>
      <c r="E13" s="28" t="s">
        <v>106</v>
      </c>
      <c r="F13" s="31" t="s">
        <v>107</v>
      </c>
      <c r="G13" s="27" t="s">
        <v>105</v>
      </c>
      <c r="H13" s="29">
        <v>77000</v>
      </c>
      <c r="I13" s="30">
        <f t="shared" si="0"/>
        <v>2209.9</v>
      </c>
      <c r="J13" s="30">
        <f>H13*3.04%</f>
        <v>2340.8000000000002</v>
      </c>
      <c r="K13" s="30">
        <f>H13-I13-J13</f>
        <v>72449.3</v>
      </c>
      <c r="L13" s="51">
        <f>6695.19-M13</f>
        <v>6695.19</v>
      </c>
      <c r="M13" s="51">
        <v>0</v>
      </c>
      <c r="N13" s="30"/>
      <c r="O13" s="30">
        <f>25</f>
        <v>25</v>
      </c>
      <c r="P13" s="30"/>
      <c r="Q13" s="30"/>
      <c r="R13" s="30">
        <f>I13+J13+L13+N13+O13+P13</f>
        <v>11270.89</v>
      </c>
      <c r="S13" s="51">
        <f t="shared" ref="S13:S16" si="1">H13-R13</f>
        <v>65729.11</v>
      </c>
    </row>
    <row r="14" spans="1:19" ht="38.450000000000003" customHeight="1" thickBot="1" x14ac:dyDescent="0.45">
      <c r="A14" s="25">
        <v>3</v>
      </c>
      <c r="B14" s="26">
        <v>44564</v>
      </c>
      <c r="C14" s="26">
        <v>45293</v>
      </c>
      <c r="D14" s="27" t="s">
        <v>29</v>
      </c>
      <c r="E14" s="28" t="s">
        <v>108</v>
      </c>
      <c r="F14" s="31" t="s">
        <v>109</v>
      </c>
      <c r="G14" s="27" t="s">
        <v>105</v>
      </c>
      <c r="H14" s="29">
        <v>115000</v>
      </c>
      <c r="I14" s="30">
        <f t="shared" si="0"/>
        <v>3300.5</v>
      </c>
      <c r="J14" s="30">
        <f>H14*3.04%</f>
        <v>3496</v>
      </c>
      <c r="K14" s="30">
        <f t="shared" ref="K14:K16" si="2">H14-I14-J14</f>
        <v>108203.5</v>
      </c>
      <c r="L14" s="51">
        <v>15633.74</v>
      </c>
      <c r="M14" s="51"/>
      <c r="N14" s="30"/>
      <c r="O14" s="30">
        <v>25</v>
      </c>
      <c r="P14" s="30"/>
      <c r="Q14" s="30">
        <v>0</v>
      </c>
      <c r="R14" s="82">
        <f>I14+J14+N14+O14+P14+L14-Q14</f>
        <v>22455.239999999998</v>
      </c>
      <c r="S14" s="51">
        <f>H14-R14</f>
        <v>92544.760000000009</v>
      </c>
    </row>
    <row r="15" spans="1:19" ht="38.450000000000003" customHeight="1" thickBot="1" x14ac:dyDescent="0.45">
      <c r="A15" s="25">
        <v>4</v>
      </c>
      <c r="B15" s="26" t="s">
        <v>110</v>
      </c>
      <c r="C15" s="26">
        <v>45295</v>
      </c>
      <c r="D15" s="27" t="s">
        <v>29</v>
      </c>
      <c r="E15" s="28" t="s">
        <v>111</v>
      </c>
      <c r="F15" s="31" t="s">
        <v>112</v>
      </c>
      <c r="G15" s="27" t="s">
        <v>105</v>
      </c>
      <c r="H15" s="29">
        <v>70000</v>
      </c>
      <c r="I15" s="30">
        <f t="shared" si="0"/>
        <v>2009</v>
      </c>
      <c r="J15" s="30">
        <f>H15*3.04%</f>
        <v>2128</v>
      </c>
      <c r="K15" s="30">
        <f t="shared" si="2"/>
        <v>65863</v>
      </c>
      <c r="L15" s="51">
        <v>5368.45</v>
      </c>
      <c r="M15" s="51"/>
      <c r="N15" s="30"/>
      <c r="O15" s="30">
        <v>25</v>
      </c>
      <c r="P15" s="30"/>
      <c r="Q15" s="30"/>
      <c r="R15" s="30">
        <f>I15+J15+L15+N15+O15+P15</f>
        <v>9530.4500000000007</v>
      </c>
      <c r="S15" s="51">
        <f t="shared" si="1"/>
        <v>60469.55</v>
      </c>
    </row>
    <row r="16" spans="1:19" ht="75.75" customHeight="1" thickBot="1" x14ac:dyDescent="0.45">
      <c r="A16" s="25">
        <v>5</v>
      </c>
      <c r="B16" s="32">
        <v>44929</v>
      </c>
      <c r="C16" s="26">
        <v>45293</v>
      </c>
      <c r="D16" s="27" t="s">
        <v>23</v>
      </c>
      <c r="E16" s="28" t="s">
        <v>113</v>
      </c>
      <c r="F16" s="83" t="s">
        <v>114</v>
      </c>
      <c r="G16" s="27" t="s">
        <v>105</v>
      </c>
      <c r="H16" s="29">
        <v>110000</v>
      </c>
      <c r="I16" s="30">
        <f t="shared" si="0"/>
        <v>3157</v>
      </c>
      <c r="J16" s="30">
        <f>H16*3.04%</f>
        <v>3344</v>
      </c>
      <c r="K16" s="30">
        <f t="shared" si="2"/>
        <v>103499</v>
      </c>
      <c r="L16" s="51">
        <v>14058.29</v>
      </c>
      <c r="M16" s="51"/>
      <c r="N16" s="30">
        <v>1715.46</v>
      </c>
      <c r="O16" s="30">
        <f>25</f>
        <v>25</v>
      </c>
      <c r="P16" s="30"/>
      <c r="Q16" s="30"/>
      <c r="R16" s="30">
        <f>I16+J16+L16+N16+O16+P16</f>
        <v>22299.75</v>
      </c>
      <c r="S16" s="51">
        <f t="shared" si="1"/>
        <v>87700.25</v>
      </c>
    </row>
    <row r="17" spans="1:19" ht="35.450000000000003" customHeight="1" thickBot="1" x14ac:dyDescent="0.5">
      <c r="A17" s="25"/>
      <c r="B17" s="148" t="s">
        <v>38</v>
      </c>
      <c r="C17" s="149"/>
      <c r="D17" s="149"/>
      <c r="E17" s="149"/>
      <c r="F17" s="150"/>
      <c r="G17" s="84"/>
      <c r="H17" s="85">
        <f>H12+H13+H14+H15+H16</f>
        <v>597000</v>
      </c>
      <c r="I17" s="85">
        <f t="shared" ref="I17:S17" si="3">I12+I13+I14+I15+I16</f>
        <v>17133.900000000001</v>
      </c>
      <c r="J17" s="85">
        <f t="shared" si="3"/>
        <v>17191.96</v>
      </c>
      <c r="K17" s="85">
        <f t="shared" si="3"/>
        <v>562674.14</v>
      </c>
      <c r="L17" s="85">
        <f t="shared" si="3"/>
        <v>83552.860000000015</v>
      </c>
      <c r="M17" s="85">
        <f t="shared" si="3"/>
        <v>0</v>
      </c>
      <c r="N17" s="85">
        <f t="shared" si="3"/>
        <v>1715.46</v>
      </c>
      <c r="O17" s="85">
        <f t="shared" si="3"/>
        <v>125</v>
      </c>
      <c r="P17" s="85">
        <f t="shared" si="3"/>
        <v>0</v>
      </c>
      <c r="Q17" s="85">
        <f t="shared" si="3"/>
        <v>0</v>
      </c>
      <c r="R17" s="85">
        <f t="shared" si="3"/>
        <v>119719.18000000001</v>
      </c>
      <c r="S17" s="85">
        <f t="shared" si="3"/>
        <v>477280.82</v>
      </c>
    </row>
    <row r="18" spans="1:19" ht="48.6" customHeight="1" thickBot="1" x14ac:dyDescent="0.45">
      <c r="A18" s="25"/>
      <c r="B18" s="157" t="s">
        <v>115</v>
      </c>
      <c r="C18" s="158"/>
      <c r="D18" s="158"/>
      <c r="E18" s="159"/>
      <c r="F18" s="28"/>
      <c r="G18" s="28"/>
      <c r="H18" s="29"/>
      <c r="I18" s="30"/>
      <c r="J18" s="30"/>
      <c r="K18" s="30"/>
      <c r="L18" s="51"/>
      <c r="M18" s="51"/>
      <c r="N18" s="30"/>
      <c r="O18" s="30"/>
      <c r="P18" s="30"/>
      <c r="Q18" s="30"/>
      <c r="R18" s="30"/>
      <c r="S18" s="30"/>
    </row>
    <row r="19" spans="1:19" ht="36.6" customHeight="1" thickBot="1" x14ac:dyDescent="0.45">
      <c r="A19" s="25">
        <v>6</v>
      </c>
      <c r="B19" s="26">
        <v>43872</v>
      </c>
      <c r="C19" s="26">
        <v>45296</v>
      </c>
      <c r="D19" s="26" t="s">
        <v>29</v>
      </c>
      <c r="E19" s="86" t="s">
        <v>116</v>
      </c>
      <c r="F19" s="28" t="s">
        <v>117</v>
      </c>
      <c r="G19" s="27" t="s">
        <v>105</v>
      </c>
      <c r="H19" s="29">
        <v>225000</v>
      </c>
      <c r="I19" s="30">
        <f>H19*2.87%</f>
        <v>6457.5</v>
      </c>
      <c r="J19" s="30">
        <f>193525*3.04%</f>
        <v>5883.16</v>
      </c>
      <c r="K19" s="30">
        <f>H19-I19-J19</f>
        <v>212659.34</v>
      </c>
      <c r="L19" s="51">
        <v>41797.19</v>
      </c>
      <c r="M19" s="51"/>
      <c r="N19" s="30"/>
      <c r="O19" s="30">
        <f>25</f>
        <v>25</v>
      </c>
      <c r="P19" s="30"/>
      <c r="Q19" s="87"/>
      <c r="R19" s="87">
        <f>I19+J19+L19+N19+O19+P19</f>
        <v>54162.850000000006</v>
      </c>
      <c r="S19" s="51">
        <f>H19-R19</f>
        <v>170837.15</v>
      </c>
    </row>
    <row r="20" spans="1:19" ht="37.15" customHeight="1" thickBot="1" x14ac:dyDescent="0.45">
      <c r="A20" s="25">
        <v>7</v>
      </c>
      <c r="B20" s="26" t="s">
        <v>118</v>
      </c>
      <c r="C20" s="26">
        <v>45296</v>
      </c>
      <c r="D20" s="27" t="s">
        <v>29</v>
      </c>
      <c r="E20" s="28" t="s">
        <v>119</v>
      </c>
      <c r="F20" s="28" t="s">
        <v>120</v>
      </c>
      <c r="G20" s="27" t="s">
        <v>105</v>
      </c>
      <c r="H20" s="29">
        <v>125000</v>
      </c>
      <c r="I20" s="30">
        <f>H20*2.87%</f>
        <v>3587.5</v>
      </c>
      <c r="J20" s="30">
        <f>H20*3.04%</f>
        <v>3800</v>
      </c>
      <c r="K20" s="30">
        <f>H20-I20-J20</f>
        <v>117612.5</v>
      </c>
      <c r="L20" s="51">
        <v>17985.990000000002</v>
      </c>
      <c r="M20" s="51"/>
      <c r="N20" s="30"/>
      <c r="O20" s="30">
        <f>25</f>
        <v>25</v>
      </c>
      <c r="P20" s="30"/>
      <c r="Q20" s="87">
        <v>0</v>
      </c>
      <c r="R20" s="87">
        <f>I20+J20+N20+O20+P20+L20-Q20</f>
        <v>25398.49</v>
      </c>
      <c r="S20" s="51">
        <f t="shared" ref="S20:S21" si="4">H20-R20</f>
        <v>99601.51</v>
      </c>
    </row>
    <row r="21" spans="1:19" ht="37.15" customHeight="1" thickBot="1" x14ac:dyDescent="0.5">
      <c r="A21" s="25">
        <v>8</v>
      </c>
      <c r="B21" s="26">
        <v>44928</v>
      </c>
      <c r="C21" s="26">
        <v>45296</v>
      </c>
      <c r="D21" s="27" t="s">
        <v>29</v>
      </c>
      <c r="E21" s="28" t="s">
        <v>121</v>
      </c>
      <c r="F21" s="28" t="s">
        <v>122</v>
      </c>
      <c r="G21" s="27" t="s">
        <v>105</v>
      </c>
      <c r="H21" s="29">
        <v>82000</v>
      </c>
      <c r="I21" s="30">
        <f>H21*2.87%</f>
        <v>2353.4</v>
      </c>
      <c r="J21" s="30">
        <f>H21*3.04%</f>
        <v>2492.8000000000002</v>
      </c>
      <c r="K21" s="30">
        <f>H21-I21-J21</f>
        <v>77153.8</v>
      </c>
      <c r="L21" s="51">
        <v>7871.32</v>
      </c>
      <c r="M21" s="51"/>
      <c r="N21" s="30"/>
      <c r="O21" s="30">
        <v>25</v>
      </c>
      <c r="P21" s="30"/>
      <c r="Q21" s="87"/>
      <c r="R21" s="87">
        <f>I21+J21+L21+N21+O21+P21</f>
        <v>12742.52</v>
      </c>
      <c r="S21" s="51">
        <f t="shared" si="4"/>
        <v>69257.48</v>
      </c>
    </row>
    <row r="22" spans="1:19" ht="39.6" customHeight="1" thickBot="1" x14ac:dyDescent="0.5">
      <c r="A22" s="25"/>
      <c r="B22" s="148" t="s">
        <v>123</v>
      </c>
      <c r="C22" s="149"/>
      <c r="D22" s="149"/>
      <c r="E22" s="149"/>
      <c r="F22" s="150"/>
      <c r="G22" s="88"/>
      <c r="H22" s="85">
        <f>H19+H20+H21</f>
        <v>432000</v>
      </c>
      <c r="I22" s="85">
        <f t="shared" ref="I22:S22" si="5">I19+I20+I21</f>
        <v>12398.4</v>
      </c>
      <c r="J22" s="85">
        <f t="shared" si="5"/>
        <v>12175.96</v>
      </c>
      <c r="K22" s="85">
        <f t="shared" si="5"/>
        <v>407425.63999999996</v>
      </c>
      <c r="L22" s="85">
        <f t="shared" si="5"/>
        <v>67654.5</v>
      </c>
      <c r="M22" s="85">
        <f t="shared" si="5"/>
        <v>0</v>
      </c>
      <c r="N22" s="85">
        <f t="shared" si="5"/>
        <v>0</v>
      </c>
      <c r="O22" s="85">
        <f t="shared" si="5"/>
        <v>75</v>
      </c>
      <c r="P22" s="85">
        <f t="shared" si="5"/>
        <v>0</v>
      </c>
      <c r="Q22" s="85">
        <f t="shared" si="5"/>
        <v>0</v>
      </c>
      <c r="R22" s="85">
        <f t="shared" si="5"/>
        <v>92303.860000000015</v>
      </c>
      <c r="S22" s="85">
        <f t="shared" si="5"/>
        <v>339696.13999999996</v>
      </c>
    </row>
    <row r="23" spans="1:19" ht="48.6" customHeight="1" thickBot="1" x14ac:dyDescent="0.45">
      <c r="A23" s="25"/>
      <c r="B23" s="157" t="s">
        <v>124</v>
      </c>
      <c r="C23" s="158"/>
      <c r="D23" s="158"/>
      <c r="E23" s="158"/>
      <c r="F23" s="35"/>
      <c r="G23" s="88"/>
      <c r="H23" s="84"/>
      <c r="I23" s="84"/>
      <c r="J23" s="84"/>
      <c r="K23" s="84"/>
      <c r="L23" s="84"/>
      <c r="M23" s="84"/>
      <c r="N23" s="84"/>
      <c r="O23" s="29"/>
      <c r="P23" s="84"/>
      <c r="Q23" s="89"/>
      <c r="R23" s="89"/>
      <c r="S23" s="84"/>
    </row>
    <row r="24" spans="1:19" ht="37.15" customHeight="1" thickBot="1" x14ac:dyDescent="0.5">
      <c r="A24" s="25">
        <v>9</v>
      </c>
      <c r="B24" s="26" t="s">
        <v>125</v>
      </c>
      <c r="C24" s="26">
        <v>45293</v>
      </c>
      <c r="D24" s="26" t="s">
        <v>29</v>
      </c>
      <c r="E24" s="90" t="s">
        <v>126</v>
      </c>
      <c r="F24" s="90" t="s">
        <v>127</v>
      </c>
      <c r="G24" s="27" t="s">
        <v>105</v>
      </c>
      <c r="H24" s="29">
        <v>225000</v>
      </c>
      <c r="I24" s="29">
        <f t="shared" ref="I24:I31" si="6">H24*2.87%</f>
        <v>6457.5</v>
      </c>
      <c r="J24" s="29">
        <f>193525*3.04%</f>
        <v>5883.16</v>
      </c>
      <c r="K24" s="29">
        <f t="shared" ref="K24:K31" si="7">H24-I24-J24</f>
        <v>212659.34</v>
      </c>
      <c r="L24" s="29">
        <v>41797.19</v>
      </c>
      <c r="M24" s="29"/>
      <c r="N24" s="29"/>
      <c r="O24" s="29">
        <v>25</v>
      </c>
      <c r="P24" s="29"/>
      <c r="Q24" s="82"/>
      <c r="R24" s="82">
        <f t="shared" ref="R24:R31" si="8">I24+L24+N24+O24+P24+J24</f>
        <v>54162.850000000006</v>
      </c>
      <c r="S24" s="29">
        <f t="shared" ref="S24:S31" si="9">H24-R24</f>
        <v>170837.15</v>
      </c>
    </row>
    <row r="25" spans="1:19" ht="37.15" customHeight="1" thickBot="1" x14ac:dyDescent="0.45">
      <c r="A25" s="25">
        <v>10</v>
      </c>
      <c r="B25" s="32">
        <v>44198</v>
      </c>
      <c r="C25" s="32">
        <v>45293</v>
      </c>
      <c r="D25" s="26" t="s">
        <v>29</v>
      </c>
      <c r="E25" s="90" t="s">
        <v>128</v>
      </c>
      <c r="F25" s="86" t="s">
        <v>129</v>
      </c>
      <c r="G25" s="27" t="s">
        <v>105</v>
      </c>
      <c r="H25" s="29">
        <v>105000</v>
      </c>
      <c r="I25" s="29">
        <f t="shared" si="6"/>
        <v>3013.5</v>
      </c>
      <c r="J25" s="29">
        <f t="shared" ref="J25:J31" si="10">H25*3.04%</f>
        <v>3192</v>
      </c>
      <c r="K25" s="29">
        <f t="shared" si="7"/>
        <v>98794.5</v>
      </c>
      <c r="L25" s="29">
        <v>13281.49</v>
      </c>
      <c r="M25" s="29"/>
      <c r="N25" s="29"/>
      <c r="O25" s="29">
        <f>25</f>
        <v>25</v>
      </c>
      <c r="P25" s="29"/>
      <c r="Q25" s="82"/>
      <c r="R25" s="82">
        <f t="shared" si="8"/>
        <v>19511.989999999998</v>
      </c>
      <c r="S25" s="29">
        <f t="shared" si="9"/>
        <v>85488.010000000009</v>
      </c>
    </row>
    <row r="26" spans="1:19" ht="37.15" customHeight="1" thickBot="1" x14ac:dyDescent="0.5">
      <c r="A26" s="25">
        <v>11</v>
      </c>
      <c r="B26" s="32">
        <v>44175</v>
      </c>
      <c r="C26" s="32">
        <v>45293</v>
      </c>
      <c r="D26" s="26" t="s">
        <v>23</v>
      </c>
      <c r="E26" s="90" t="s">
        <v>130</v>
      </c>
      <c r="F26" s="86" t="s">
        <v>131</v>
      </c>
      <c r="G26" s="27" t="s">
        <v>105</v>
      </c>
      <c r="H26" s="29">
        <v>80000</v>
      </c>
      <c r="I26" s="29">
        <f t="shared" si="6"/>
        <v>2296</v>
      </c>
      <c r="J26" s="29">
        <f t="shared" si="10"/>
        <v>2432</v>
      </c>
      <c r="K26" s="29">
        <f t="shared" si="7"/>
        <v>75272</v>
      </c>
      <c r="L26" s="29">
        <v>7400.87</v>
      </c>
      <c r="M26" s="29"/>
      <c r="N26" s="84"/>
      <c r="O26" s="29">
        <v>25</v>
      </c>
      <c r="P26" s="84"/>
      <c r="Q26" s="89"/>
      <c r="R26" s="82">
        <f t="shared" si="8"/>
        <v>12153.869999999999</v>
      </c>
      <c r="S26" s="29">
        <f t="shared" si="9"/>
        <v>67846.13</v>
      </c>
    </row>
    <row r="27" spans="1:19" ht="37.15" customHeight="1" thickBot="1" x14ac:dyDescent="0.5">
      <c r="A27" s="25">
        <v>12</v>
      </c>
      <c r="B27" s="32">
        <v>44564</v>
      </c>
      <c r="C27" s="32">
        <v>45294</v>
      </c>
      <c r="D27" s="26" t="s">
        <v>29</v>
      </c>
      <c r="E27" s="90" t="s">
        <v>132</v>
      </c>
      <c r="F27" s="86" t="s">
        <v>133</v>
      </c>
      <c r="G27" s="27" t="s">
        <v>105</v>
      </c>
      <c r="H27" s="29">
        <v>85000</v>
      </c>
      <c r="I27" s="29">
        <f t="shared" si="6"/>
        <v>2439.5</v>
      </c>
      <c r="J27" s="29">
        <f t="shared" si="10"/>
        <v>2584</v>
      </c>
      <c r="K27" s="29">
        <f t="shared" si="7"/>
        <v>79976.5</v>
      </c>
      <c r="L27" s="29">
        <v>8576.99</v>
      </c>
      <c r="M27" s="29">
        <v>0</v>
      </c>
      <c r="N27" s="84"/>
      <c r="O27" s="29">
        <v>25</v>
      </c>
      <c r="P27" s="84"/>
      <c r="Q27" s="89"/>
      <c r="R27" s="82">
        <f t="shared" si="8"/>
        <v>13625.49</v>
      </c>
      <c r="S27" s="29">
        <f t="shared" si="9"/>
        <v>71374.509999999995</v>
      </c>
    </row>
    <row r="28" spans="1:19" ht="37.15" customHeight="1" thickBot="1" x14ac:dyDescent="0.5">
      <c r="A28" s="25">
        <v>13</v>
      </c>
      <c r="B28" s="32">
        <v>44207</v>
      </c>
      <c r="C28" s="32">
        <v>45296</v>
      </c>
      <c r="D28" s="26" t="s">
        <v>23</v>
      </c>
      <c r="E28" s="90" t="s">
        <v>134</v>
      </c>
      <c r="F28" s="28" t="s">
        <v>135</v>
      </c>
      <c r="G28" s="27" t="s">
        <v>105</v>
      </c>
      <c r="H28" s="29">
        <v>55000</v>
      </c>
      <c r="I28" s="29">
        <f t="shared" si="6"/>
        <v>1578.5</v>
      </c>
      <c r="J28" s="29">
        <f t="shared" si="10"/>
        <v>1672</v>
      </c>
      <c r="K28" s="29">
        <f t="shared" si="7"/>
        <v>51749.5</v>
      </c>
      <c r="L28" s="29">
        <v>2559.6799999999998</v>
      </c>
      <c r="M28" s="29"/>
      <c r="N28" s="84"/>
      <c r="O28" s="29">
        <v>25</v>
      </c>
      <c r="P28" s="84"/>
      <c r="Q28" s="89"/>
      <c r="R28" s="82">
        <f t="shared" si="8"/>
        <v>5835.18</v>
      </c>
      <c r="S28" s="29">
        <f t="shared" si="9"/>
        <v>49164.82</v>
      </c>
    </row>
    <row r="29" spans="1:19" ht="37.15" customHeight="1" thickBot="1" x14ac:dyDescent="0.45">
      <c r="A29" s="25">
        <v>14</v>
      </c>
      <c r="B29" s="32">
        <v>44567</v>
      </c>
      <c r="C29" s="32">
        <v>45297</v>
      </c>
      <c r="D29" s="26" t="s">
        <v>29</v>
      </c>
      <c r="E29" s="90" t="s">
        <v>136</v>
      </c>
      <c r="F29" s="28" t="s">
        <v>137</v>
      </c>
      <c r="G29" s="27" t="s">
        <v>105</v>
      </c>
      <c r="H29" s="29">
        <v>55000</v>
      </c>
      <c r="I29" s="29">
        <f t="shared" si="6"/>
        <v>1578.5</v>
      </c>
      <c r="J29" s="29">
        <f t="shared" si="10"/>
        <v>1672</v>
      </c>
      <c r="K29" s="29">
        <f t="shared" si="7"/>
        <v>51749.5</v>
      </c>
      <c r="L29" s="29">
        <v>2559.6799999999998</v>
      </c>
      <c r="M29" s="29">
        <v>0</v>
      </c>
      <c r="N29" s="84"/>
      <c r="O29" s="29">
        <f>25</f>
        <v>25</v>
      </c>
      <c r="P29" s="84"/>
      <c r="Q29" s="89"/>
      <c r="R29" s="82">
        <f t="shared" si="8"/>
        <v>5835.18</v>
      </c>
      <c r="S29" s="29">
        <f t="shared" si="9"/>
        <v>49164.82</v>
      </c>
    </row>
    <row r="30" spans="1:19" ht="37.15" customHeight="1" thickBot="1" x14ac:dyDescent="0.5">
      <c r="A30" s="25">
        <v>15</v>
      </c>
      <c r="B30" s="32">
        <v>44566</v>
      </c>
      <c r="C30" s="32">
        <v>45296</v>
      </c>
      <c r="D30" s="26" t="s">
        <v>29</v>
      </c>
      <c r="E30" s="90" t="s">
        <v>138</v>
      </c>
      <c r="F30" s="28" t="s">
        <v>139</v>
      </c>
      <c r="G30" s="27" t="s">
        <v>105</v>
      </c>
      <c r="H30" s="29">
        <v>65000</v>
      </c>
      <c r="I30" s="29">
        <f t="shared" si="6"/>
        <v>1865.5</v>
      </c>
      <c r="J30" s="29">
        <f t="shared" si="10"/>
        <v>1976</v>
      </c>
      <c r="K30" s="29">
        <f t="shared" si="7"/>
        <v>61158.5</v>
      </c>
      <c r="L30" s="29">
        <v>4427.58</v>
      </c>
      <c r="M30" s="29"/>
      <c r="N30" s="84"/>
      <c r="O30" s="29">
        <f>25</f>
        <v>25</v>
      </c>
      <c r="P30" s="84"/>
      <c r="Q30" s="89"/>
      <c r="R30" s="82">
        <f t="shared" si="8"/>
        <v>8294.08</v>
      </c>
      <c r="S30" s="29">
        <f t="shared" si="9"/>
        <v>56705.919999999998</v>
      </c>
    </row>
    <row r="31" spans="1:19" ht="37.15" customHeight="1" thickBot="1" x14ac:dyDescent="0.5">
      <c r="A31" s="25">
        <v>16</v>
      </c>
      <c r="B31" s="32">
        <v>44936</v>
      </c>
      <c r="C31" s="32">
        <v>45295</v>
      </c>
      <c r="D31" s="26" t="s">
        <v>29</v>
      </c>
      <c r="E31" s="90" t="s">
        <v>140</v>
      </c>
      <c r="F31" s="28" t="s">
        <v>141</v>
      </c>
      <c r="G31" s="27" t="s">
        <v>142</v>
      </c>
      <c r="H31" s="29">
        <v>100000</v>
      </c>
      <c r="I31" s="29">
        <f t="shared" si="6"/>
        <v>2870</v>
      </c>
      <c r="J31" s="29">
        <f t="shared" si="10"/>
        <v>3040</v>
      </c>
      <c r="K31" s="29">
        <f t="shared" si="7"/>
        <v>94090</v>
      </c>
      <c r="L31" s="29">
        <v>12105.44</v>
      </c>
      <c r="M31" s="29"/>
      <c r="N31" s="84"/>
      <c r="O31" s="29">
        <v>25</v>
      </c>
      <c r="P31" s="84"/>
      <c r="Q31" s="89"/>
      <c r="R31" s="82">
        <f t="shared" si="8"/>
        <v>18040.440000000002</v>
      </c>
      <c r="S31" s="29">
        <f t="shared" si="9"/>
        <v>81959.56</v>
      </c>
    </row>
    <row r="32" spans="1:19" ht="48.6" customHeight="1" thickBot="1" x14ac:dyDescent="0.5">
      <c r="A32" s="25"/>
      <c r="B32" s="148" t="s">
        <v>123</v>
      </c>
      <c r="C32" s="149"/>
      <c r="D32" s="149"/>
      <c r="E32" s="149"/>
      <c r="F32" s="150"/>
      <c r="G32" s="88"/>
      <c r="H32" s="91">
        <f>H24+H25+H26+H28+H27+H29+H30+H31</f>
        <v>770000</v>
      </c>
      <c r="I32" s="91">
        <f t="shared" ref="I32:S32" si="11">I24+I25+I26+I28+I27+I29+I30+I31</f>
        <v>22099</v>
      </c>
      <c r="J32" s="91">
        <f t="shared" si="11"/>
        <v>22451.16</v>
      </c>
      <c r="K32" s="91">
        <f t="shared" si="11"/>
        <v>725449.84</v>
      </c>
      <c r="L32" s="91">
        <f t="shared" si="11"/>
        <v>92708.92</v>
      </c>
      <c r="M32" s="91">
        <f t="shared" si="11"/>
        <v>0</v>
      </c>
      <c r="N32" s="91">
        <f t="shared" si="11"/>
        <v>0</v>
      </c>
      <c r="O32" s="91">
        <f t="shared" si="11"/>
        <v>200</v>
      </c>
      <c r="P32" s="91">
        <f t="shared" si="11"/>
        <v>0</v>
      </c>
      <c r="Q32" s="91">
        <f t="shared" si="11"/>
        <v>0</v>
      </c>
      <c r="R32" s="91">
        <f t="shared" si="11"/>
        <v>137459.08000000002</v>
      </c>
      <c r="S32" s="91">
        <f t="shared" si="11"/>
        <v>632540.92000000016</v>
      </c>
    </row>
    <row r="33" spans="1:19" ht="37.15" customHeight="1" thickBot="1" x14ac:dyDescent="0.5">
      <c r="A33" s="25"/>
      <c r="B33" s="157" t="s">
        <v>143</v>
      </c>
      <c r="C33" s="158"/>
      <c r="D33" s="158"/>
      <c r="E33" s="159"/>
      <c r="F33" s="35"/>
      <c r="G33" s="88"/>
      <c r="H33" s="84"/>
      <c r="I33" s="84"/>
      <c r="J33" s="84"/>
      <c r="K33" s="84"/>
      <c r="L33" s="84"/>
      <c r="M33" s="84"/>
      <c r="N33" s="84"/>
      <c r="O33" s="84"/>
      <c r="P33" s="84"/>
      <c r="Q33" s="89"/>
      <c r="R33" s="89"/>
      <c r="S33" s="84"/>
    </row>
    <row r="34" spans="1:19" ht="38.450000000000003" customHeight="1" thickBot="1" x14ac:dyDescent="0.45">
      <c r="A34" s="25">
        <v>17</v>
      </c>
      <c r="B34" s="32" t="s">
        <v>22</v>
      </c>
      <c r="C34" s="32">
        <v>45293</v>
      </c>
      <c r="D34" s="26" t="s">
        <v>29</v>
      </c>
      <c r="E34" s="90" t="s">
        <v>144</v>
      </c>
      <c r="F34" s="86" t="s">
        <v>145</v>
      </c>
      <c r="G34" s="27" t="s">
        <v>105</v>
      </c>
      <c r="H34" s="29">
        <v>245000</v>
      </c>
      <c r="I34" s="29">
        <f t="shared" ref="I34:I40" si="12">H34*2.87%</f>
        <v>7031.5</v>
      </c>
      <c r="J34" s="29">
        <f>193525*3.04%</f>
        <v>5883.16</v>
      </c>
      <c r="K34" s="29">
        <f t="shared" ref="K34:K40" si="13">H34-I34-J34</f>
        <v>232085.34</v>
      </c>
      <c r="L34" s="29">
        <v>46604.2</v>
      </c>
      <c r="M34" s="29"/>
      <c r="N34" s="29"/>
      <c r="O34" s="29">
        <v>25</v>
      </c>
      <c r="P34" s="29"/>
      <c r="Q34" s="82">
        <v>0</v>
      </c>
      <c r="R34" s="82">
        <f>I34+J34+N34+O34+P34+L34-Q34</f>
        <v>59543.86</v>
      </c>
      <c r="S34" s="29">
        <f t="shared" ref="S34:S40" si="14">H34-R34</f>
        <v>185456.14</v>
      </c>
    </row>
    <row r="35" spans="1:19" ht="57.75" thickBot="1" x14ac:dyDescent="0.45">
      <c r="A35" s="25">
        <v>18</v>
      </c>
      <c r="B35" s="32">
        <v>44198</v>
      </c>
      <c r="C35" s="32">
        <v>45293</v>
      </c>
      <c r="D35" s="26" t="s">
        <v>29</v>
      </c>
      <c r="E35" s="90" t="s">
        <v>146</v>
      </c>
      <c r="F35" s="92" t="s">
        <v>147</v>
      </c>
      <c r="G35" s="93" t="s">
        <v>105</v>
      </c>
      <c r="H35" s="29">
        <v>150000</v>
      </c>
      <c r="I35" s="29">
        <f t="shared" si="12"/>
        <v>4305</v>
      </c>
      <c r="J35" s="29">
        <f t="shared" ref="J35:J40" si="15">H35*3.04%</f>
        <v>4560</v>
      </c>
      <c r="K35" s="29">
        <f t="shared" si="13"/>
        <v>141135</v>
      </c>
      <c r="L35" s="29">
        <v>23866.69</v>
      </c>
      <c r="M35" s="94"/>
      <c r="N35" s="95"/>
      <c r="O35" s="29">
        <v>25</v>
      </c>
      <c r="P35" s="29"/>
      <c r="Q35" s="82">
        <v>0</v>
      </c>
      <c r="R35" s="82">
        <f>I35+J35+N35+O35+P35+L35-Q35</f>
        <v>32756.69</v>
      </c>
      <c r="S35" s="29">
        <f t="shared" si="14"/>
        <v>117243.31</v>
      </c>
    </row>
    <row r="36" spans="1:19" ht="38.450000000000003" customHeight="1" thickBot="1" x14ac:dyDescent="0.5">
      <c r="A36" s="25">
        <v>19</v>
      </c>
      <c r="B36" s="32">
        <v>44621</v>
      </c>
      <c r="C36" s="32">
        <v>44997</v>
      </c>
      <c r="D36" s="26" t="s">
        <v>23</v>
      </c>
      <c r="E36" s="90" t="s">
        <v>148</v>
      </c>
      <c r="F36" s="86" t="s">
        <v>149</v>
      </c>
      <c r="G36" s="93" t="s">
        <v>105</v>
      </c>
      <c r="H36" s="29">
        <v>95000</v>
      </c>
      <c r="I36" s="29">
        <f t="shared" si="12"/>
        <v>2726.5</v>
      </c>
      <c r="J36" s="29">
        <f t="shared" si="15"/>
        <v>2888</v>
      </c>
      <c r="K36" s="29">
        <f t="shared" si="13"/>
        <v>89385.5</v>
      </c>
      <c r="L36" s="29">
        <v>9753.1200000000008</v>
      </c>
      <c r="M36" s="29"/>
      <c r="N36" s="29"/>
      <c r="O36" s="29">
        <v>25</v>
      </c>
      <c r="P36" s="29"/>
      <c r="Q36" s="82"/>
      <c r="R36" s="82">
        <f t="shared" ref="R36:R40" si="16">I36+J36+N36+O36+P36+L36</f>
        <v>15392.62</v>
      </c>
      <c r="S36" s="29">
        <f t="shared" si="14"/>
        <v>79607.38</v>
      </c>
    </row>
    <row r="37" spans="1:19" ht="37.15" customHeight="1" thickBot="1" x14ac:dyDescent="0.5">
      <c r="A37" s="25">
        <v>20</v>
      </c>
      <c r="B37" s="32">
        <v>44198</v>
      </c>
      <c r="C37" s="32">
        <v>45293</v>
      </c>
      <c r="D37" s="26" t="s">
        <v>23</v>
      </c>
      <c r="E37" s="90" t="s">
        <v>150</v>
      </c>
      <c r="F37" s="86" t="s">
        <v>151</v>
      </c>
      <c r="G37" s="27" t="s">
        <v>105</v>
      </c>
      <c r="H37" s="29">
        <v>60000</v>
      </c>
      <c r="I37" s="29">
        <f t="shared" si="12"/>
        <v>1722</v>
      </c>
      <c r="J37" s="29">
        <f t="shared" si="15"/>
        <v>1824</v>
      </c>
      <c r="K37" s="29">
        <f t="shared" si="13"/>
        <v>56454</v>
      </c>
      <c r="L37" s="29">
        <v>3483.0699999999997</v>
      </c>
      <c r="M37" s="29"/>
      <c r="N37" s="29"/>
      <c r="O37" s="29">
        <v>25</v>
      </c>
      <c r="P37" s="29"/>
      <c r="Q37" s="82"/>
      <c r="R37" s="82">
        <f>I37+J37+N37+O37+P37+L37</f>
        <v>7054.07</v>
      </c>
      <c r="S37" s="29">
        <f t="shared" si="14"/>
        <v>52945.93</v>
      </c>
    </row>
    <row r="38" spans="1:19" ht="37.15" customHeight="1" thickBot="1" x14ac:dyDescent="0.5">
      <c r="A38" s="25">
        <v>21</v>
      </c>
      <c r="B38" s="32">
        <v>44206</v>
      </c>
      <c r="C38" s="32">
        <v>45293</v>
      </c>
      <c r="D38" s="26" t="s">
        <v>29</v>
      </c>
      <c r="E38" s="90" t="s">
        <v>152</v>
      </c>
      <c r="F38" s="86" t="s">
        <v>149</v>
      </c>
      <c r="G38" s="27" t="s">
        <v>105</v>
      </c>
      <c r="H38" s="29">
        <v>70000</v>
      </c>
      <c r="I38" s="29">
        <f t="shared" si="12"/>
        <v>2009</v>
      </c>
      <c r="J38" s="29">
        <f t="shared" si="15"/>
        <v>2128</v>
      </c>
      <c r="K38" s="29">
        <f t="shared" si="13"/>
        <v>65863</v>
      </c>
      <c r="L38" s="29">
        <f>5368.45-M38</f>
        <v>5368.45</v>
      </c>
      <c r="M38" s="29">
        <v>0</v>
      </c>
      <c r="N38" s="29"/>
      <c r="O38" s="29">
        <v>25</v>
      </c>
      <c r="P38" s="29"/>
      <c r="Q38" s="82"/>
      <c r="R38" s="82">
        <f t="shared" si="16"/>
        <v>9530.4500000000007</v>
      </c>
      <c r="S38" s="29">
        <f t="shared" si="14"/>
        <v>60469.55</v>
      </c>
    </row>
    <row r="39" spans="1:19" ht="37.15" customHeight="1" thickBot="1" x14ac:dyDescent="0.5">
      <c r="A39" s="25">
        <v>22</v>
      </c>
      <c r="B39" s="32">
        <v>44198</v>
      </c>
      <c r="C39" s="32">
        <v>45297</v>
      </c>
      <c r="D39" s="26" t="s">
        <v>29</v>
      </c>
      <c r="E39" s="90" t="s">
        <v>153</v>
      </c>
      <c r="F39" s="86" t="s">
        <v>149</v>
      </c>
      <c r="G39" s="27" t="s">
        <v>105</v>
      </c>
      <c r="H39" s="29">
        <v>95000</v>
      </c>
      <c r="I39" s="29">
        <f t="shared" si="12"/>
        <v>2726.5</v>
      </c>
      <c r="J39" s="29">
        <f t="shared" si="15"/>
        <v>2888</v>
      </c>
      <c r="K39" s="29">
        <f t="shared" si="13"/>
        <v>89385.5</v>
      </c>
      <c r="L39" s="29">
        <v>10929.24</v>
      </c>
      <c r="M39" s="29"/>
      <c r="N39" s="29"/>
      <c r="O39" s="29">
        <v>25</v>
      </c>
      <c r="P39" s="29">
        <v>4602.7</v>
      </c>
      <c r="Q39" s="82"/>
      <c r="R39" s="82">
        <f t="shared" si="16"/>
        <v>21171.440000000002</v>
      </c>
      <c r="S39" s="29">
        <f t="shared" si="14"/>
        <v>73828.56</v>
      </c>
    </row>
    <row r="40" spans="1:19" ht="37.15" customHeight="1" thickBot="1" x14ac:dyDescent="0.5">
      <c r="A40" s="25">
        <v>23</v>
      </c>
      <c r="B40" s="32">
        <v>44938</v>
      </c>
      <c r="C40" s="32">
        <v>45297</v>
      </c>
      <c r="D40" s="26" t="s">
        <v>23</v>
      </c>
      <c r="E40" s="90" t="s">
        <v>154</v>
      </c>
      <c r="F40" s="86" t="s">
        <v>149</v>
      </c>
      <c r="G40" s="27" t="s">
        <v>105</v>
      </c>
      <c r="H40" s="29">
        <v>95000</v>
      </c>
      <c r="I40" s="29">
        <f t="shared" si="12"/>
        <v>2726.5</v>
      </c>
      <c r="J40" s="29">
        <f t="shared" si="15"/>
        <v>2888</v>
      </c>
      <c r="K40" s="29">
        <f t="shared" si="13"/>
        <v>89385.5</v>
      </c>
      <c r="L40" s="29">
        <v>10929.24</v>
      </c>
      <c r="M40" s="29"/>
      <c r="N40" s="29"/>
      <c r="O40" s="29">
        <v>25</v>
      </c>
      <c r="P40" s="29">
        <v>4602.7</v>
      </c>
      <c r="Q40" s="82"/>
      <c r="R40" s="82">
        <f t="shared" si="16"/>
        <v>21171.440000000002</v>
      </c>
      <c r="S40" s="29">
        <f t="shared" si="14"/>
        <v>73828.56</v>
      </c>
    </row>
    <row r="41" spans="1:19" ht="48.6" customHeight="1" thickBot="1" x14ac:dyDescent="0.5">
      <c r="A41" s="25"/>
      <c r="B41" s="148" t="s">
        <v>123</v>
      </c>
      <c r="C41" s="149"/>
      <c r="D41" s="149"/>
      <c r="E41" s="149"/>
      <c r="F41" s="150"/>
      <c r="G41" s="88"/>
      <c r="H41" s="85">
        <f>H34+H35+H37+H38+H36+H39+H40</f>
        <v>810000</v>
      </c>
      <c r="I41" s="85">
        <f t="shared" ref="I41:S41" si="17">I34+I35+I37+I38+I36+I39+I40</f>
        <v>23247</v>
      </c>
      <c r="J41" s="85">
        <f t="shared" si="17"/>
        <v>23059.16</v>
      </c>
      <c r="K41" s="85">
        <f t="shared" si="17"/>
        <v>763693.84</v>
      </c>
      <c r="L41" s="85">
        <f t="shared" si="17"/>
        <v>110934.01</v>
      </c>
      <c r="M41" s="85">
        <f t="shared" si="17"/>
        <v>0</v>
      </c>
      <c r="N41" s="85">
        <f t="shared" si="17"/>
        <v>0</v>
      </c>
      <c r="O41" s="85">
        <f t="shared" si="17"/>
        <v>175</v>
      </c>
      <c r="P41" s="85">
        <f t="shared" si="17"/>
        <v>9205.4</v>
      </c>
      <c r="Q41" s="85">
        <f t="shared" si="17"/>
        <v>0</v>
      </c>
      <c r="R41" s="85">
        <f t="shared" si="17"/>
        <v>166620.57</v>
      </c>
      <c r="S41" s="85">
        <f t="shared" si="17"/>
        <v>643379.42999999993</v>
      </c>
    </row>
    <row r="42" spans="1:19" ht="48.6" customHeight="1" thickBot="1" x14ac:dyDescent="0.45">
      <c r="A42" s="25"/>
      <c r="B42" s="157" t="s">
        <v>155</v>
      </c>
      <c r="C42" s="158"/>
      <c r="D42" s="158"/>
      <c r="E42" s="159"/>
      <c r="F42" s="35"/>
      <c r="G42" s="88"/>
      <c r="H42" s="84"/>
      <c r="I42" s="84"/>
      <c r="J42" s="84"/>
      <c r="K42" s="84"/>
      <c r="L42" s="84"/>
      <c r="M42" s="84"/>
      <c r="N42" s="84"/>
      <c r="O42" s="29"/>
      <c r="P42" s="84"/>
      <c r="Q42" s="89"/>
      <c r="R42" s="89"/>
      <c r="S42" s="84"/>
    </row>
    <row r="43" spans="1:19" ht="37.15" customHeight="1" thickBot="1" x14ac:dyDescent="0.5">
      <c r="A43" s="25">
        <v>23</v>
      </c>
      <c r="B43" s="32" t="s">
        <v>22</v>
      </c>
      <c r="C43" s="32">
        <v>45296</v>
      </c>
      <c r="D43" s="26" t="s">
        <v>23</v>
      </c>
      <c r="E43" s="90" t="s">
        <v>156</v>
      </c>
      <c r="F43" s="86" t="s">
        <v>157</v>
      </c>
      <c r="G43" s="27" t="s">
        <v>105</v>
      </c>
      <c r="H43" s="29">
        <v>225000</v>
      </c>
      <c r="I43" s="29">
        <f t="shared" ref="I43:I56" si="18">H43*2.87%</f>
        <v>6457.5</v>
      </c>
      <c r="J43" s="29">
        <f>193525*3.04%</f>
        <v>5883.16</v>
      </c>
      <c r="K43" s="29">
        <f t="shared" ref="K43:K56" si="19">H43-I43-J43</f>
        <v>212659.34</v>
      </c>
      <c r="L43" s="29">
        <v>41797.19</v>
      </c>
      <c r="M43" s="29"/>
      <c r="N43" s="84"/>
      <c r="O43" s="29">
        <v>25</v>
      </c>
      <c r="P43" s="84"/>
      <c r="Q43" s="89"/>
      <c r="R43" s="82">
        <f t="shared" ref="R43:R56" si="20">I43+J43+N334+L43+N43+O43+P43</f>
        <v>54162.850000000006</v>
      </c>
      <c r="S43" s="29">
        <f t="shared" ref="S43:S56" si="21">H43-R43</f>
        <v>170837.15</v>
      </c>
    </row>
    <row r="44" spans="1:19" ht="37.15" customHeight="1" thickBot="1" x14ac:dyDescent="0.5">
      <c r="A44" s="25">
        <v>24</v>
      </c>
      <c r="B44" s="32">
        <v>43872</v>
      </c>
      <c r="C44" s="32">
        <v>45296</v>
      </c>
      <c r="D44" s="26" t="s">
        <v>23</v>
      </c>
      <c r="E44" s="90" t="s">
        <v>158</v>
      </c>
      <c r="F44" s="86" t="s">
        <v>159</v>
      </c>
      <c r="G44" s="27" t="s">
        <v>105</v>
      </c>
      <c r="H44" s="29">
        <v>135000</v>
      </c>
      <c r="I44" s="29">
        <f t="shared" si="18"/>
        <v>3874.5</v>
      </c>
      <c r="J44" s="29">
        <f t="shared" ref="J44:J56" si="22">H44*3.04%</f>
        <v>4104</v>
      </c>
      <c r="K44" s="29">
        <f t="shared" si="19"/>
        <v>127021.5</v>
      </c>
      <c r="L44" s="29">
        <v>20338.189999999999</v>
      </c>
      <c r="M44" s="29"/>
      <c r="N44" s="84"/>
      <c r="O44" s="29">
        <v>25</v>
      </c>
      <c r="P44" s="84"/>
      <c r="Q44" s="89"/>
      <c r="R44" s="82">
        <f t="shared" si="20"/>
        <v>28341.69</v>
      </c>
      <c r="S44" s="29">
        <f t="shared" si="21"/>
        <v>106658.31</v>
      </c>
    </row>
    <row r="45" spans="1:19" ht="37.15" customHeight="1" thickBot="1" x14ac:dyDescent="0.5">
      <c r="A45" s="25">
        <v>25</v>
      </c>
      <c r="B45" s="26" t="s">
        <v>160</v>
      </c>
      <c r="C45" s="96">
        <v>45296</v>
      </c>
      <c r="D45" s="96" t="s">
        <v>29</v>
      </c>
      <c r="E45" s="90" t="s">
        <v>161</v>
      </c>
      <c r="F45" s="97" t="s">
        <v>162</v>
      </c>
      <c r="G45" s="27" t="s">
        <v>105</v>
      </c>
      <c r="H45" s="29">
        <v>95000</v>
      </c>
      <c r="I45" s="29">
        <f t="shared" si="18"/>
        <v>2726.5</v>
      </c>
      <c r="J45" s="29">
        <f t="shared" si="22"/>
        <v>2888</v>
      </c>
      <c r="K45" s="29">
        <f t="shared" si="19"/>
        <v>89385.5</v>
      </c>
      <c r="L45" s="29">
        <v>10929.24</v>
      </c>
      <c r="M45" s="29"/>
      <c r="N45" s="84"/>
      <c r="O45" s="29">
        <v>25</v>
      </c>
      <c r="P45" s="84"/>
      <c r="Q45" s="89"/>
      <c r="R45" s="82">
        <f t="shared" si="20"/>
        <v>16568.739999999998</v>
      </c>
      <c r="S45" s="29">
        <f t="shared" si="21"/>
        <v>78431.260000000009</v>
      </c>
    </row>
    <row r="46" spans="1:19" ht="37.15" customHeight="1" thickBot="1" x14ac:dyDescent="0.5">
      <c r="A46" s="25">
        <v>26</v>
      </c>
      <c r="B46" s="32">
        <v>44199</v>
      </c>
      <c r="C46" s="26">
        <v>45296</v>
      </c>
      <c r="D46" s="96" t="s">
        <v>29</v>
      </c>
      <c r="E46" s="90" t="s">
        <v>163</v>
      </c>
      <c r="F46" s="97" t="s">
        <v>164</v>
      </c>
      <c r="G46" s="27" t="s">
        <v>105</v>
      </c>
      <c r="H46" s="29">
        <v>90000</v>
      </c>
      <c r="I46" s="29">
        <f t="shared" si="18"/>
        <v>2583</v>
      </c>
      <c r="J46" s="29">
        <f t="shared" si="22"/>
        <v>2736</v>
      </c>
      <c r="K46" s="29">
        <f t="shared" si="19"/>
        <v>84681</v>
      </c>
      <c r="L46" s="29">
        <v>9324.25</v>
      </c>
      <c r="M46" s="29"/>
      <c r="N46" s="29">
        <v>1715.46</v>
      </c>
      <c r="O46" s="29">
        <v>25</v>
      </c>
      <c r="P46" s="84"/>
      <c r="Q46" s="89"/>
      <c r="R46" s="82">
        <f t="shared" si="20"/>
        <v>16383.71</v>
      </c>
      <c r="S46" s="29">
        <f t="shared" si="21"/>
        <v>73616.290000000008</v>
      </c>
    </row>
    <row r="47" spans="1:19" ht="37.15" customHeight="1" thickBot="1" x14ac:dyDescent="0.45">
      <c r="A47" s="25">
        <v>27</v>
      </c>
      <c r="B47" s="32" t="s">
        <v>51</v>
      </c>
      <c r="C47" s="32">
        <v>45296</v>
      </c>
      <c r="D47" s="26" t="s">
        <v>29</v>
      </c>
      <c r="E47" s="90" t="s">
        <v>165</v>
      </c>
      <c r="F47" s="86" t="s">
        <v>166</v>
      </c>
      <c r="G47" s="27" t="s">
        <v>105</v>
      </c>
      <c r="H47" s="29">
        <v>65000</v>
      </c>
      <c r="I47" s="29">
        <f t="shared" si="18"/>
        <v>1865.5</v>
      </c>
      <c r="J47" s="29">
        <f t="shared" si="22"/>
        <v>1976</v>
      </c>
      <c r="K47" s="29">
        <f t="shared" si="19"/>
        <v>61158.5</v>
      </c>
      <c r="L47" s="29">
        <f>4427.58-M47</f>
        <v>4427.58</v>
      </c>
      <c r="M47" s="29">
        <v>0</v>
      </c>
      <c r="N47" s="84"/>
      <c r="O47" s="29">
        <v>25</v>
      </c>
      <c r="P47" s="29">
        <v>3351.29</v>
      </c>
      <c r="Q47" s="89"/>
      <c r="R47" s="82">
        <f t="shared" si="20"/>
        <v>11645.369999999999</v>
      </c>
      <c r="S47" s="29">
        <f t="shared" si="21"/>
        <v>53354.630000000005</v>
      </c>
    </row>
    <row r="48" spans="1:19" ht="37.15" customHeight="1" thickBot="1" x14ac:dyDescent="0.45">
      <c r="A48" s="25">
        <v>28</v>
      </c>
      <c r="B48" s="32">
        <v>44207</v>
      </c>
      <c r="C48" s="32">
        <v>45294</v>
      </c>
      <c r="D48" s="26" t="s">
        <v>29</v>
      </c>
      <c r="E48" s="90" t="s">
        <v>167</v>
      </c>
      <c r="F48" s="86" t="s">
        <v>162</v>
      </c>
      <c r="G48" s="27" t="s">
        <v>105</v>
      </c>
      <c r="H48" s="29">
        <v>70000</v>
      </c>
      <c r="I48" s="29">
        <f t="shared" si="18"/>
        <v>2009</v>
      </c>
      <c r="J48" s="29">
        <f t="shared" si="22"/>
        <v>2128</v>
      </c>
      <c r="K48" s="29">
        <f t="shared" si="19"/>
        <v>65863</v>
      </c>
      <c r="L48" s="29">
        <v>5368.45</v>
      </c>
      <c r="M48" s="29"/>
      <c r="N48" s="84"/>
      <c r="O48" s="29">
        <v>25</v>
      </c>
      <c r="P48" s="84"/>
      <c r="Q48" s="89"/>
      <c r="R48" s="82">
        <f t="shared" si="20"/>
        <v>9530.4500000000007</v>
      </c>
      <c r="S48" s="29">
        <f t="shared" si="21"/>
        <v>60469.55</v>
      </c>
    </row>
    <row r="49" spans="1:19" ht="37.15" customHeight="1" thickBot="1" x14ac:dyDescent="0.5">
      <c r="A49" s="25">
        <v>29</v>
      </c>
      <c r="B49" s="32">
        <v>44621</v>
      </c>
      <c r="C49" s="32">
        <v>45357</v>
      </c>
      <c r="D49" s="26" t="s">
        <v>23</v>
      </c>
      <c r="E49" s="90" t="s">
        <v>168</v>
      </c>
      <c r="F49" s="86" t="s">
        <v>169</v>
      </c>
      <c r="G49" s="27" t="s">
        <v>105</v>
      </c>
      <c r="H49" s="29">
        <v>82000</v>
      </c>
      <c r="I49" s="29">
        <f t="shared" si="18"/>
        <v>2353.4</v>
      </c>
      <c r="J49" s="29">
        <f t="shared" si="22"/>
        <v>2492.8000000000002</v>
      </c>
      <c r="K49" s="29">
        <f t="shared" si="19"/>
        <v>77153.8</v>
      </c>
      <c r="L49" s="29">
        <v>7871.32</v>
      </c>
      <c r="M49" s="29">
        <v>0</v>
      </c>
      <c r="N49" s="84"/>
      <c r="O49" s="29">
        <v>25</v>
      </c>
      <c r="P49" s="84"/>
      <c r="Q49" s="89"/>
      <c r="R49" s="82">
        <f t="shared" si="20"/>
        <v>12742.52</v>
      </c>
      <c r="S49" s="29">
        <f t="shared" si="21"/>
        <v>69257.48</v>
      </c>
    </row>
    <row r="50" spans="1:19" ht="37.15" customHeight="1" thickBot="1" x14ac:dyDescent="0.45">
      <c r="A50" s="25">
        <v>30</v>
      </c>
      <c r="B50" s="32">
        <v>44621</v>
      </c>
      <c r="C50" s="32">
        <v>44997</v>
      </c>
      <c r="D50" s="26" t="s">
        <v>29</v>
      </c>
      <c r="E50" s="90" t="s">
        <v>170</v>
      </c>
      <c r="F50" s="86" t="s">
        <v>137</v>
      </c>
      <c r="G50" s="27" t="s">
        <v>105</v>
      </c>
      <c r="H50" s="29">
        <v>60000</v>
      </c>
      <c r="I50" s="29">
        <f t="shared" si="18"/>
        <v>1722</v>
      </c>
      <c r="J50" s="29">
        <f t="shared" si="22"/>
        <v>1824</v>
      </c>
      <c r="K50" s="29">
        <f t="shared" si="19"/>
        <v>56454</v>
      </c>
      <c r="L50" s="29">
        <f>3486.68-M50</f>
        <v>3486.68</v>
      </c>
      <c r="M50" s="29">
        <v>0</v>
      </c>
      <c r="N50" s="84"/>
      <c r="O50" s="29">
        <v>25</v>
      </c>
      <c r="P50" s="84"/>
      <c r="Q50" s="89"/>
      <c r="R50" s="82">
        <f t="shared" si="20"/>
        <v>7057.68</v>
      </c>
      <c r="S50" s="29">
        <f t="shared" si="21"/>
        <v>52942.32</v>
      </c>
    </row>
    <row r="51" spans="1:19" ht="37.15" customHeight="1" thickBot="1" x14ac:dyDescent="0.45">
      <c r="A51" s="25">
        <v>31</v>
      </c>
      <c r="B51" s="32">
        <v>44563</v>
      </c>
      <c r="C51" s="26">
        <v>45292</v>
      </c>
      <c r="D51" s="26" t="s">
        <v>29</v>
      </c>
      <c r="E51" s="90" t="s">
        <v>171</v>
      </c>
      <c r="F51" s="90" t="s">
        <v>137</v>
      </c>
      <c r="G51" s="27" t="s">
        <v>105</v>
      </c>
      <c r="H51" s="29">
        <v>60000</v>
      </c>
      <c r="I51" s="29">
        <f t="shared" si="18"/>
        <v>1722</v>
      </c>
      <c r="J51" s="29">
        <f t="shared" si="22"/>
        <v>1824</v>
      </c>
      <c r="K51" s="29">
        <f t="shared" si="19"/>
        <v>56454</v>
      </c>
      <c r="L51" s="29">
        <v>3486.68</v>
      </c>
      <c r="M51" s="29">
        <v>0</v>
      </c>
      <c r="N51" s="84"/>
      <c r="O51" s="29">
        <f>25</f>
        <v>25</v>
      </c>
      <c r="P51" s="84"/>
      <c r="Q51" s="89"/>
      <c r="R51" s="82">
        <f t="shared" si="20"/>
        <v>7057.68</v>
      </c>
      <c r="S51" s="29">
        <f t="shared" si="21"/>
        <v>52942.32</v>
      </c>
    </row>
    <row r="52" spans="1:19" ht="37.15" customHeight="1" thickBot="1" x14ac:dyDescent="0.45">
      <c r="A52" s="25">
        <v>32</v>
      </c>
      <c r="B52" s="26">
        <v>44564</v>
      </c>
      <c r="C52" s="39">
        <v>45297</v>
      </c>
      <c r="D52" s="26" t="s">
        <v>29</v>
      </c>
      <c r="E52" s="90" t="s">
        <v>172</v>
      </c>
      <c r="F52" s="90" t="s">
        <v>137</v>
      </c>
      <c r="G52" s="27" t="s">
        <v>105</v>
      </c>
      <c r="H52" s="29">
        <v>60000</v>
      </c>
      <c r="I52" s="29">
        <f t="shared" si="18"/>
        <v>1722</v>
      </c>
      <c r="J52" s="29">
        <f t="shared" si="22"/>
        <v>1824</v>
      </c>
      <c r="K52" s="29">
        <f t="shared" si="19"/>
        <v>56454</v>
      </c>
      <c r="L52" s="29">
        <v>3486.65</v>
      </c>
      <c r="M52" s="29"/>
      <c r="N52" s="84"/>
      <c r="O52" s="29">
        <v>25</v>
      </c>
      <c r="P52" s="84"/>
      <c r="Q52" s="89"/>
      <c r="R52" s="82">
        <f t="shared" si="20"/>
        <v>7057.65</v>
      </c>
      <c r="S52" s="29">
        <f t="shared" si="21"/>
        <v>52942.35</v>
      </c>
    </row>
    <row r="53" spans="1:19" ht="37.15" customHeight="1" thickBot="1" x14ac:dyDescent="0.45">
      <c r="A53" s="25">
        <v>33</v>
      </c>
      <c r="B53" s="26">
        <v>44564</v>
      </c>
      <c r="C53" s="39">
        <v>45297</v>
      </c>
      <c r="D53" s="26" t="s">
        <v>29</v>
      </c>
      <c r="E53" s="90" t="s">
        <v>173</v>
      </c>
      <c r="F53" s="90" t="s">
        <v>137</v>
      </c>
      <c r="G53" s="27" t="s">
        <v>105</v>
      </c>
      <c r="H53" s="29">
        <v>50000</v>
      </c>
      <c r="I53" s="29">
        <f t="shared" si="18"/>
        <v>1435</v>
      </c>
      <c r="J53" s="29">
        <f t="shared" si="22"/>
        <v>1520</v>
      </c>
      <c r="K53" s="29">
        <f t="shared" si="19"/>
        <v>47045</v>
      </c>
      <c r="L53" s="29">
        <v>1854</v>
      </c>
      <c r="M53" s="29">
        <v>0</v>
      </c>
      <c r="N53" s="84"/>
      <c r="O53" s="29">
        <f>25</f>
        <v>25</v>
      </c>
      <c r="P53" s="84"/>
      <c r="Q53" s="89"/>
      <c r="R53" s="82">
        <f t="shared" si="20"/>
        <v>4834</v>
      </c>
      <c r="S53" s="29">
        <f t="shared" si="21"/>
        <v>45166</v>
      </c>
    </row>
    <row r="54" spans="1:19" ht="37.15" customHeight="1" thickBot="1" x14ac:dyDescent="0.5">
      <c r="A54" s="25">
        <v>34</v>
      </c>
      <c r="B54" s="26">
        <v>44566</v>
      </c>
      <c r="C54" s="39">
        <v>45295</v>
      </c>
      <c r="D54" s="26" t="s">
        <v>29</v>
      </c>
      <c r="E54" s="90" t="s">
        <v>174</v>
      </c>
      <c r="F54" s="90" t="s">
        <v>162</v>
      </c>
      <c r="G54" s="27" t="s">
        <v>105</v>
      </c>
      <c r="H54" s="29">
        <v>85000</v>
      </c>
      <c r="I54" s="29">
        <f t="shared" si="18"/>
        <v>2439.5</v>
      </c>
      <c r="J54" s="29">
        <f t="shared" si="22"/>
        <v>2584</v>
      </c>
      <c r="K54" s="29">
        <f t="shared" si="19"/>
        <v>79976.5</v>
      </c>
      <c r="L54" s="29">
        <v>8576.99</v>
      </c>
      <c r="M54" s="29"/>
      <c r="N54" s="84"/>
      <c r="O54" s="29">
        <v>25</v>
      </c>
      <c r="P54" s="84"/>
      <c r="Q54" s="89"/>
      <c r="R54" s="82">
        <f t="shared" si="20"/>
        <v>13625.49</v>
      </c>
      <c r="S54" s="29">
        <f t="shared" si="21"/>
        <v>71374.509999999995</v>
      </c>
    </row>
    <row r="55" spans="1:19" ht="37.15" customHeight="1" thickBot="1" x14ac:dyDescent="0.45">
      <c r="A55" s="25">
        <v>35</v>
      </c>
      <c r="B55" s="26">
        <v>44621</v>
      </c>
      <c r="C55" s="39">
        <v>45357</v>
      </c>
      <c r="D55" s="26" t="s">
        <v>23</v>
      </c>
      <c r="E55" s="50" t="s">
        <v>175</v>
      </c>
      <c r="F55" s="90" t="s">
        <v>176</v>
      </c>
      <c r="G55" s="27" t="s">
        <v>105</v>
      </c>
      <c r="H55" s="29">
        <v>53000</v>
      </c>
      <c r="I55" s="29">
        <f t="shared" si="18"/>
        <v>1521.1</v>
      </c>
      <c r="J55" s="29">
        <f t="shared" si="22"/>
        <v>1611.2</v>
      </c>
      <c r="K55" s="29">
        <f t="shared" si="19"/>
        <v>49867.700000000004</v>
      </c>
      <c r="L55" s="29">
        <v>2277.4</v>
      </c>
      <c r="M55" s="29"/>
      <c r="N55" s="84"/>
      <c r="O55" s="29">
        <f>25</f>
        <v>25</v>
      </c>
      <c r="P55" s="84"/>
      <c r="Q55" s="89"/>
      <c r="R55" s="82">
        <f t="shared" si="20"/>
        <v>5434.7000000000007</v>
      </c>
      <c r="S55" s="29">
        <f t="shared" si="21"/>
        <v>47565.3</v>
      </c>
    </row>
    <row r="56" spans="1:19" ht="37.15" customHeight="1" thickBot="1" x14ac:dyDescent="0.45">
      <c r="A56" s="25">
        <v>36</v>
      </c>
      <c r="B56" s="26">
        <v>44936</v>
      </c>
      <c r="C56" s="39">
        <v>45295</v>
      </c>
      <c r="D56" s="26" t="s">
        <v>29</v>
      </c>
      <c r="E56" s="50" t="s">
        <v>177</v>
      </c>
      <c r="F56" s="90" t="s">
        <v>178</v>
      </c>
      <c r="G56" s="27" t="s">
        <v>105</v>
      </c>
      <c r="H56" s="29">
        <v>72000</v>
      </c>
      <c r="I56" s="29">
        <f t="shared" si="18"/>
        <v>2066.4</v>
      </c>
      <c r="J56" s="29">
        <f t="shared" si="22"/>
        <v>2188.8000000000002</v>
      </c>
      <c r="K56" s="29">
        <f t="shared" si="19"/>
        <v>67744.800000000003</v>
      </c>
      <c r="L56" s="29">
        <v>5744.84</v>
      </c>
      <c r="M56" s="29"/>
      <c r="N56" s="84"/>
      <c r="O56" s="29">
        <v>25</v>
      </c>
      <c r="P56" s="84"/>
      <c r="Q56" s="89"/>
      <c r="R56" s="82">
        <f t="shared" si="20"/>
        <v>10025.040000000001</v>
      </c>
      <c r="S56" s="29">
        <f t="shared" si="21"/>
        <v>61974.96</v>
      </c>
    </row>
    <row r="57" spans="1:19" ht="40.15" customHeight="1" thickBot="1" x14ac:dyDescent="0.5">
      <c r="A57" s="25"/>
      <c r="B57" s="148" t="s">
        <v>123</v>
      </c>
      <c r="C57" s="149"/>
      <c r="D57" s="149"/>
      <c r="E57" s="149"/>
      <c r="F57" s="150"/>
      <c r="G57" s="98"/>
      <c r="H57" s="85">
        <f>H43+H44+H45+H47+H46+H48+H49+H50+H51+H52+H53+H54+H55+H56</f>
        <v>1202000</v>
      </c>
      <c r="I57" s="85">
        <f t="shared" ref="I57:S57" si="23">I43+I44+I45+I47+I46+I48+I49+I50+I51+I52+I53+I54+I55+I56</f>
        <v>34497.4</v>
      </c>
      <c r="J57" s="85">
        <f t="shared" si="23"/>
        <v>35583.96</v>
      </c>
      <c r="K57" s="85">
        <f t="shared" si="23"/>
        <v>1131918.6400000001</v>
      </c>
      <c r="L57" s="85">
        <f t="shared" si="23"/>
        <v>128969.45999999998</v>
      </c>
      <c r="M57" s="85">
        <f t="shared" si="23"/>
        <v>0</v>
      </c>
      <c r="N57" s="85">
        <f t="shared" si="23"/>
        <v>1715.46</v>
      </c>
      <c r="O57" s="85">
        <f t="shared" si="23"/>
        <v>350</v>
      </c>
      <c r="P57" s="85">
        <f t="shared" si="23"/>
        <v>3351.29</v>
      </c>
      <c r="Q57" s="85">
        <f t="shared" si="23"/>
        <v>0</v>
      </c>
      <c r="R57" s="85">
        <f t="shared" si="23"/>
        <v>204467.56999999998</v>
      </c>
      <c r="S57" s="85">
        <f t="shared" si="23"/>
        <v>997532.42999999993</v>
      </c>
    </row>
    <row r="58" spans="1:19" ht="48.6" customHeight="1" thickBot="1" x14ac:dyDescent="0.5">
      <c r="A58" s="25"/>
      <c r="B58" s="157" t="s">
        <v>179</v>
      </c>
      <c r="C58" s="158"/>
      <c r="D58" s="158"/>
      <c r="E58" s="159"/>
      <c r="F58" s="35"/>
      <c r="G58" s="98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84"/>
      <c r="S58" s="84"/>
    </row>
    <row r="59" spans="1:19" ht="40.15" customHeight="1" thickBot="1" x14ac:dyDescent="0.5">
      <c r="A59" s="25">
        <v>37</v>
      </c>
      <c r="B59" s="26">
        <v>44198</v>
      </c>
      <c r="C59" s="26">
        <v>45292</v>
      </c>
      <c r="D59" s="26" t="s">
        <v>29</v>
      </c>
      <c r="E59" s="90" t="s">
        <v>180</v>
      </c>
      <c r="F59" s="86" t="s">
        <v>181</v>
      </c>
      <c r="G59" s="100" t="s">
        <v>105</v>
      </c>
      <c r="H59" s="29">
        <v>150000</v>
      </c>
      <c r="I59" s="29">
        <f>H59*2.87%</f>
        <v>4305</v>
      </c>
      <c r="J59" s="82">
        <f>H59*3.04%</f>
        <v>4560</v>
      </c>
      <c r="K59" s="29">
        <f>H59-I59-J59</f>
        <v>141135</v>
      </c>
      <c r="L59" s="41">
        <v>23866.69</v>
      </c>
      <c r="M59" s="29"/>
      <c r="N59" s="29"/>
      <c r="O59" s="29">
        <v>25</v>
      </c>
      <c r="P59" s="29"/>
      <c r="Q59" s="82">
        <v>0</v>
      </c>
      <c r="R59" s="82">
        <f>I59+J59+L59+N59+O59+P59-Q59</f>
        <v>32756.69</v>
      </c>
      <c r="S59" s="29">
        <f>H59-R59</f>
        <v>117243.31</v>
      </c>
    </row>
    <row r="60" spans="1:19" ht="40.15" customHeight="1" thickBot="1" x14ac:dyDescent="0.5">
      <c r="A60" s="25">
        <v>38</v>
      </c>
      <c r="B60" s="26">
        <v>44199</v>
      </c>
      <c r="C60" s="26">
        <v>45292</v>
      </c>
      <c r="D60" s="26" t="s">
        <v>29</v>
      </c>
      <c r="E60" s="90" t="s">
        <v>182</v>
      </c>
      <c r="F60" s="90" t="s">
        <v>183</v>
      </c>
      <c r="G60" s="100" t="s">
        <v>105</v>
      </c>
      <c r="H60" s="29">
        <v>80000</v>
      </c>
      <c r="I60" s="29">
        <f>H60*2.87%</f>
        <v>2296</v>
      </c>
      <c r="J60" s="82">
        <f>H60*3.04%</f>
        <v>2432</v>
      </c>
      <c r="K60" s="29">
        <f>H60-I60-J60</f>
        <v>75272</v>
      </c>
      <c r="L60" s="29">
        <v>7400.87</v>
      </c>
      <c r="M60" s="29">
        <v>0</v>
      </c>
      <c r="N60" s="29">
        <v>0</v>
      </c>
      <c r="O60" s="29">
        <v>25</v>
      </c>
      <c r="P60" s="29">
        <v>3351.29</v>
      </c>
      <c r="Q60" s="82"/>
      <c r="R60" s="82">
        <f>I60+J60+L60+N60+O60+P60</f>
        <v>15505.16</v>
      </c>
      <c r="S60" s="29">
        <f>H60-R60</f>
        <v>64494.84</v>
      </c>
    </row>
    <row r="61" spans="1:19" ht="40.15" customHeight="1" thickBot="1" x14ac:dyDescent="0.5">
      <c r="A61" s="25">
        <v>39</v>
      </c>
      <c r="B61" s="26" t="s">
        <v>22</v>
      </c>
      <c r="C61" s="26">
        <v>45292</v>
      </c>
      <c r="D61" s="26" t="s">
        <v>29</v>
      </c>
      <c r="E61" s="90" t="s">
        <v>184</v>
      </c>
      <c r="F61" s="90" t="s">
        <v>183</v>
      </c>
      <c r="G61" s="100" t="s">
        <v>105</v>
      </c>
      <c r="H61" s="29">
        <v>95000</v>
      </c>
      <c r="I61" s="29">
        <f>H61*2.87%</f>
        <v>2726.5</v>
      </c>
      <c r="J61" s="82">
        <f>H61*3.04%</f>
        <v>2888</v>
      </c>
      <c r="K61" s="29">
        <f>H61-I61-J61</f>
        <v>89385.5</v>
      </c>
      <c r="L61" s="29">
        <v>10534.88</v>
      </c>
      <c r="M61" s="29"/>
      <c r="N61" s="29">
        <v>1715.46</v>
      </c>
      <c r="O61" s="29">
        <v>25</v>
      </c>
      <c r="P61" s="29">
        <v>3351.29</v>
      </c>
      <c r="Q61" s="82"/>
      <c r="R61" s="82">
        <f>I61+J61+L61+N61+O61+P61</f>
        <v>21241.13</v>
      </c>
      <c r="S61" s="29">
        <f>H61-R61</f>
        <v>73758.87</v>
      </c>
    </row>
    <row r="62" spans="1:19" ht="48.6" customHeight="1" thickBot="1" x14ac:dyDescent="0.5">
      <c r="A62" s="25"/>
      <c r="B62" s="148" t="s">
        <v>123</v>
      </c>
      <c r="C62" s="149"/>
      <c r="D62" s="149"/>
      <c r="E62" s="149"/>
      <c r="F62" s="150"/>
      <c r="G62" s="40"/>
      <c r="H62" s="85">
        <f>H59+H60+H61</f>
        <v>325000</v>
      </c>
      <c r="I62" s="85">
        <f t="shared" ref="I62:S62" si="24">I59+I60+I61</f>
        <v>9327.5</v>
      </c>
      <c r="J62" s="85">
        <f t="shared" si="24"/>
        <v>9880</v>
      </c>
      <c r="K62" s="85">
        <f t="shared" si="24"/>
        <v>305792.5</v>
      </c>
      <c r="L62" s="85">
        <f t="shared" si="24"/>
        <v>41802.439999999995</v>
      </c>
      <c r="M62" s="85">
        <f t="shared" si="24"/>
        <v>0</v>
      </c>
      <c r="N62" s="85">
        <f t="shared" si="24"/>
        <v>1715.46</v>
      </c>
      <c r="O62" s="85">
        <f t="shared" si="24"/>
        <v>75</v>
      </c>
      <c r="P62" s="85">
        <f t="shared" si="24"/>
        <v>6702.58</v>
      </c>
      <c r="Q62" s="85">
        <f t="shared" si="24"/>
        <v>0</v>
      </c>
      <c r="R62" s="85">
        <f t="shared" si="24"/>
        <v>69502.98</v>
      </c>
      <c r="S62" s="85">
        <f t="shared" si="24"/>
        <v>255497.02</v>
      </c>
    </row>
    <row r="63" spans="1:19" ht="48.6" customHeight="1" thickBot="1" x14ac:dyDescent="0.45">
      <c r="A63" s="101"/>
      <c r="B63" s="157" t="s">
        <v>185</v>
      </c>
      <c r="C63" s="158"/>
      <c r="D63" s="158"/>
      <c r="E63" s="158"/>
      <c r="F63" s="35"/>
      <c r="G63" s="102"/>
      <c r="H63" s="84"/>
      <c r="I63" s="84"/>
      <c r="J63" s="84"/>
      <c r="K63" s="84"/>
      <c r="L63" s="84"/>
      <c r="M63" s="84"/>
      <c r="N63" s="84"/>
      <c r="O63" s="84"/>
      <c r="P63" s="84"/>
      <c r="Q63" s="89"/>
      <c r="R63" s="89"/>
      <c r="S63" s="84"/>
    </row>
    <row r="64" spans="1:19" ht="36.6" customHeight="1" thickBot="1" x14ac:dyDescent="0.45">
      <c r="A64" s="101">
        <v>40</v>
      </c>
      <c r="B64" s="32" t="s">
        <v>186</v>
      </c>
      <c r="C64" s="32">
        <v>45292</v>
      </c>
      <c r="D64" s="26" t="s">
        <v>23</v>
      </c>
      <c r="E64" s="90" t="s">
        <v>187</v>
      </c>
      <c r="F64" s="86" t="s">
        <v>188</v>
      </c>
      <c r="G64" s="103" t="s">
        <v>105</v>
      </c>
      <c r="H64" s="29">
        <v>95000</v>
      </c>
      <c r="I64" s="29">
        <f>H64*2.87%</f>
        <v>2726.5</v>
      </c>
      <c r="J64" s="29">
        <f>H64*3.04%</f>
        <v>2888</v>
      </c>
      <c r="K64" s="29">
        <v>89385.5</v>
      </c>
      <c r="L64" s="29">
        <v>10929.24</v>
      </c>
      <c r="M64" s="29"/>
      <c r="N64" s="29"/>
      <c r="O64" s="29">
        <v>25</v>
      </c>
      <c r="P64" s="29"/>
      <c r="Q64" s="29"/>
      <c r="R64" s="29">
        <f>I64+J64+L64+N64+O64+P64</f>
        <v>16568.739999999998</v>
      </c>
      <c r="S64" s="29">
        <f>H64-R64</f>
        <v>78431.260000000009</v>
      </c>
    </row>
    <row r="65" spans="1:19" ht="36.6" customHeight="1" thickBot="1" x14ac:dyDescent="0.5">
      <c r="A65" s="101"/>
      <c r="B65" s="148" t="s">
        <v>38</v>
      </c>
      <c r="C65" s="149"/>
      <c r="D65" s="149"/>
      <c r="E65" s="149"/>
      <c r="F65" s="150"/>
      <c r="G65" s="102"/>
      <c r="H65" s="85">
        <f>H64</f>
        <v>95000</v>
      </c>
      <c r="I65" s="85">
        <f>I64</f>
        <v>2726.5</v>
      </c>
      <c r="J65" s="85">
        <f t="shared" ref="J65:Q65" si="25">J64</f>
        <v>2888</v>
      </c>
      <c r="K65" s="85">
        <f t="shared" si="25"/>
        <v>89385.5</v>
      </c>
      <c r="L65" s="85">
        <f>L64</f>
        <v>10929.24</v>
      </c>
      <c r="M65" s="85"/>
      <c r="N65" s="85">
        <f t="shared" si="25"/>
        <v>0</v>
      </c>
      <c r="O65" s="85">
        <f t="shared" si="25"/>
        <v>25</v>
      </c>
      <c r="P65" s="85">
        <f t="shared" si="25"/>
        <v>0</v>
      </c>
      <c r="Q65" s="85">
        <f t="shared" si="25"/>
        <v>0</v>
      </c>
      <c r="R65" s="85">
        <f>R64</f>
        <v>16568.739999999998</v>
      </c>
      <c r="S65" s="85">
        <f>S64</f>
        <v>78431.260000000009</v>
      </c>
    </row>
    <row r="66" spans="1:19" s="105" customFormat="1" ht="48.6" customHeight="1" thickBot="1" x14ac:dyDescent="0.45">
      <c r="A66" s="104"/>
      <c r="B66" s="157" t="s">
        <v>189</v>
      </c>
      <c r="C66" s="158"/>
      <c r="D66" s="158"/>
      <c r="E66" s="159"/>
      <c r="G66" s="106"/>
      <c r="H66" s="106"/>
      <c r="I66" s="106"/>
      <c r="J66" s="106"/>
      <c r="K66" s="106"/>
      <c r="L66" s="106"/>
      <c r="M66" s="107"/>
      <c r="N66" s="106"/>
      <c r="O66" s="106"/>
      <c r="P66" s="106"/>
      <c r="Q66" s="106"/>
      <c r="R66" s="106"/>
      <c r="S66" s="108"/>
    </row>
    <row r="67" spans="1:19" s="105" customFormat="1" ht="37.15" customHeight="1" thickBot="1" x14ac:dyDescent="0.45">
      <c r="A67" s="25">
        <v>41</v>
      </c>
      <c r="B67" s="32">
        <v>44198</v>
      </c>
      <c r="C67" s="32">
        <v>45292</v>
      </c>
      <c r="D67" s="26" t="s">
        <v>23</v>
      </c>
      <c r="E67" s="90" t="s">
        <v>190</v>
      </c>
      <c r="F67" s="86" t="s">
        <v>191</v>
      </c>
      <c r="G67" s="103" t="s">
        <v>105</v>
      </c>
      <c r="H67" s="29">
        <v>115000</v>
      </c>
      <c r="I67" s="29">
        <f>H67*2.87%</f>
        <v>3300.5</v>
      </c>
      <c r="J67" s="82">
        <f>H67*3.04%</f>
        <v>3496</v>
      </c>
      <c r="K67" s="29">
        <f>H67-I67-J67</f>
        <v>108203.5</v>
      </c>
      <c r="L67" s="41">
        <v>15633.74</v>
      </c>
      <c r="M67" s="29"/>
      <c r="N67" s="109"/>
      <c r="O67" s="29">
        <v>25</v>
      </c>
      <c r="P67" s="29">
        <v>10195.77</v>
      </c>
      <c r="Q67" s="82"/>
      <c r="R67" s="82">
        <f>I67+J67+L67+N67+O67+P67</f>
        <v>32651.01</v>
      </c>
      <c r="S67" s="29">
        <f>H67-R67</f>
        <v>82348.990000000005</v>
      </c>
    </row>
    <row r="68" spans="1:19" s="107" customFormat="1" ht="37.15" customHeight="1" thickBot="1" x14ac:dyDescent="0.45">
      <c r="A68" s="25">
        <v>42</v>
      </c>
      <c r="B68" s="32">
        <v>44198</v>
      </c>
      <c r="C68" s="32">
        <v>45292</v>
      </c>
      <c r="D68" s="26" t="s">
        <v>29</v>
      </c>
      <c r="E68" s="90" t="s">
        <v>192</v>
      </c>
      <c r="F68" s="86" t="s">
        <v>137</v>
      </c>
      <c r="G68" s="103" t="s">
        <v>105</v>
      </c>
      <c r="H68" s="29">
        <v>60000</v>
      </c>
      <c r="I68" s="29">
        <f>H68*2.87%</f>
        <v>1722</v>
      </c>
      <c r="J68" s="82">
        <f>H68*3.04%</f>
        <v>1824</v>
      </c>
      <c r="K68" s="29">
        <f>H68-I68-J68</f>
        <v>56454</v>
      </c>
      <c r="L68" s="41">
        <f>3486.65-M68</f>
        <v>3486.65</v>
      </c>
      <c r="M68" s="48">
        <v>0</v>
      </c>
      <c r="N68" s="109"/>
      <c r="O68" s="29">
        <v>25</v>
      </c>
      <c r="P68" s="29"/>
      <c r="Q68" s="82"/>
      <c r="R68" s="82">
        <f>I68+J68+L68+N68+O68+P68</f>
        <v>7057.65</v>
      </c>
      <c r="S68" s="29">
        <f>H68-R68</f>
        <v>52942.35</v>
      </c>
    </row>
    <row r="69" spans="1:19" s="107" customFormat="1" ht="48.6" customHeight="1" thickBot="1" x14ac:dyDescent="0.5">
      <c r="A69" s="105"/>
      <c r="B69" s="148" t="s">
        <v>38</v>
      </c>
      <c r="C69" s="149"/>
      <c r="D69" s="149"/>
      <c r="E69" s="149"/>
      <c r="F69" s="150"/>
      <c r="G69" s="110"/>
      <c r="H69" s="85">
        <f>H67+H68</f>
        <v>175000</v>
      </c>
      <c r="I69" s="85">
        <f t="shared" ref="I69:S69" si="26">I67+I68</f>
        <v>5022.5</v>
      </c>
      <c r="J69" s="85">
        <f t="shared" si="26"/>
        <v>5320</v>
      </c>
      <c r="K69" s="85">
        <f t="shared" si="26"/>
        <v>164657.5</v>
      </c>
      <c r="L69" s="85">
        <f t="shared" si="26"/>
        <v>19120.39</v>
      </c>
      <c r="M69" s="85">
        <f t="shared" si="26"/>
        <v>0</v>
      </c>
      <c r="N69" s="85">
        <f t="shared" si="26"/>
        <v>0</v>
      </c>
      <c r="O69" s="85">
        <f t="shared" si="26"/>
        <v>50</v>
      </c>
      <c r="P69" s="85">
        <f t="shared" si="26"/>
        <v>10195.77</v>
      </c>
      <c r="Q69" s="85">
        <f t="shared" si="26"/>
        <v>0</v>
      </c>
      <c r="R69" s="85">
        <f t="shared" si="26"/>
        <v>39708.659999999996</v>
      </c>
      <c r="S69" s="85">
        <f t="shared" si="26"/>
        <v>135291.34</v>
      </c>
    </row>
    <row r="70" spans="1:19" ht="48.6" customHeight="1" thickBot="1" x14ac:dyDescent="0.45">
      <c r="A70" s="25"/>
      <c r="B70" s="158" t="s">
        <v>193</v>
      </c>
      <c r="C70" s="158"/>
      <c r="D70" s="158"/>
      <c r="E70" s="158"/>
      <c r="F70" s="111"/>
      <c r="G70" s="40"/>
      <c r="H70" s="29"/>
      <c r="I70" s="29"/>
      <c r="J70" s="29"/>
      <c r="K70" s="29"/>
      <c r="L70" s="29"/>
      <c r="M70" s="29"/>
      <c r="N70" s="29"/>
      <c r="O70" s="29"/>
      <c r="P70" s="29"/>
      <c r="Q70" s="82"/>
      <c r="R70" s="82"/>
      <c r="S70" s="29"/>
    </row>
    <row r="71" spans="1:19" ht="35.450000000000003" customHeight="1" thickBot="1" x14ac:dyDescent="0.45">
      <c r="A71" s="25">
        <v>42</v>
      </c>
      <c r="B71" s="26">
        <v>44534</v>
      </c>
      <c r="C71" s="26">
        <v>45627</v>
      </c>
      <c r="D71" s="26" t="s">
        <v>23</v>
      </c>
      <c r="E71" s="90" t="s">
        <v>194</v>
      </c>
      <c r="F71" s="90" t="s">
        <v>195</v>
      </c>
      <c r="G71" s="39" t="s">
        <v>105</v>
      </c>
      <c r="H71" s="29">
        <v>140000</v>
      </c>
      <c r="I71" s="29">
        <f>H71*2.87%</f>
        <v>4018</v>
      </c>
      <c r="J71" s="29">
        <f>H71*3.04%</f>
        <v>4256</v>
      </c>
      <c r="K71" s="29">
        <f>H71-I71-J71</f>
        <v>131726</v>
      </c>
      <c r="L71" s="29">
        <v>21514.37</v>
      </c>
      <c r="M71" s="29"/>
      <c r="N71" s="29">
        <v>0</v>
      </c>
      <c r="O71" s="29">
        <v>25</v>
      </c>
      <c r="P71" s="84"/>
      <c r="Q71" s="82">
        <v>0</v>
      </c>
      <c r="R71" s="82">
        <f>I71+J71+L71+N71+O71+P71-Q71</f>
        <v>29813.37</v>
      </c>
      <c r="S71" s="29">
        <f>H71-R71</f>
        <v>110186.63</v>
      </c>
    </row>
    <row r="72" spans="1:19" ht="36.6" customHeight="1" thickBot="1" x14ac:dyDescent="0.45">
      <c r="A72" s="25">
        <v>43</v>
      </c>
      <c r="B72" s="26" t="s">
        <v>196</v>
      </c>
      <c r="C72" s="26" t="s">
        <v>197</v>
      </c>
      <c r="D72" s="26" t="s">
        <v>23</v>
      </c>
      <c r="E72" s="90" t="s">
        <v>198</v>
      </c>
      <c r="F72" s="90" t="s">
        <v>199</v>
      </c>
      <c r="G72" s="39" t="s">
        <v>105</v>
      </c>
      <c r="H72" s="29">
        <v>90000</v>
      </c>
      <c r="I72" s="29">
        <f>H72*2.87%</f>
        <v>2583</v>
      </c>
      <c r="J72" s="29">
        <f>H72*3.04%</f>
        <v>2736</v>
      </c>
      <c r="K72" s="29">
        <f>H72-I72-J72</f>
        <v>84681</v>
      </c>
      <c r="L72" s="29">
        <v>8964.39</v>
      </c>
      <c r="M72" s="29"/>
      <c r="N72" s="29">
        <f>1715.45*2</f>
        <v>3430.9</v>
      </c>
      <c r="O72" s="29">
        <v>25</v>
      </c>
      <c r="P72" s="84"/>
      <c r="Q72" s="89"/>
      <c r="R72" s="82">
        <f>I72+J72+L72+N72+O72+P72</f>
        <v>17739.29</v>
      </c>
      <c r="S72" s="29">
        <f>H72-R72</f>
        <v>72260.709999999992</v>
      </c>
    </row>
    <row r="73" spans="1:19" ht="36.6" customHeight="1" thickBot="1" x14ac:dyDescent="0.45">
      <c r="A73" s="25">
        <v>44</v>
      </c>
      <c r="B73" s="26">
        <v>44564</v>
      </c>
      <c r="C73" s="26">
        <v>45297</v>
      </c>
      <c r="D73" s="26" t="s">
        <v>23</v>
      </c>
      <c r="E73" s="90" t="s">
        <v>200</v>
      </c>
      <c r="F73" s="90" t="s">
        <v>201</v>
      </c>
      <c r="G73" s="39" t="s">
        <v>105</v>
      </c>
      <c r="H73" s="29">
        <v>50000</v>
      </c>
      <c r="I73" s="29">
        <f>H73*2.87%</f>
        <v>1435</v>
      </c>
      <c r="J73" s="29">
        <f>H73*3.04%</f>
        <v>1520</v>
      </c>
      <c r="K73" s="29">
        <f>H73-I73-J73</f>
        <v>47045</v>
      </c>
      <c r="L73" s="29">
        <v>1854</v>
      </c>
      <c r="M73" s="29">
        <v>0</v>
      </c>
      <c r="N73" s="29">
        <v>0</v>
      </c>
      <c r="O73" s="29">
        <v>25</v>
      </c>
      <c r="P73" s="84"/>
      <c r="Q73" s="89"/>
      <c r="R73" s="82">
        <f>I73+J73+L73+N73+O73+P73</f>
        <v>4834</v>
      </c>
      <c r="S73" s="29">
        <f>H73-R73</f>
        <v>45166</v>
      </c>
    </row>
    <row r="74" spans="1:19" ht="36.6" customHeight="1" thickBot="1" x14ac:dyDescent="0.45">
      <c r="A74" s="25">
        <v>45</v>
      </c>
      <c r="B74" s="26">
        <v>44565</v>
      </c>
      <c r="C74" s="26">
        <v>45294</v>
      </c>
      <c r="D74" s="26" t="s">
        <v>23</v>
      </c>
      <c r="E74" s="90" t="s">
        <v>202</v>
      </c>
      <c r="F74" s="90" t="s">
        <v>203</v>
      </c>
      <c r="G74" s="39" t="s">
        <v>105</v>
      </c>
      <c r="H74" s="29">
        <v>75000</v>
      </c>
      <c r="I74" s="29">
        <f>H74*2.87%</f>
        <v>2152.5</v>
      </c>
      <c r="J74" s="29">
        <f>H74*3.04%</f>
        <v>2280</v>
      </c>
      <c r="K74" s="29">
        <f>H74-I74-J74</f>
        <v>70567.5</v>
      </c>
      <c r="L74" s="29">
        <v>6309.3879999999999</v>
      </c>
      <c r="M74" s="29"/>
      <c r="N74" s="29">
        <v>0</v>
      </c>
      <c r="O74" s="29">
        <v>25</v>
      </c>
      <c r="P74" s="84"/>
      <c r="Q74" s="89"/>
      <c r="R74" s="82">
        <f>I74+J74+L74+N74+O74+P74</f>
        <v>10766.887999999999</v>
      </c>
      <c r="S74" s="29">
        <f>H74-R74</f>
        <v>64233.112000000001</v>
      </c>
    </row>
    <row r="75" spans="1:19" ht="48.6" customHeight="1" thickBot="1" x14ac:dyDescent="0.45">
      <c r="A75" s="111"/>
      <c r="B75" s="148" t="s">
        <v>123</v>
      </c>
      <c r="C75" s="149"/>
      <c r="D75" s="149"/>
      <c r="E75" s="149"/>
      <c r="F75" s="150"/>
      <c r="G75" s="34"/>
      <c r="H75" s="85">
        <f>H71+H72+H73+H74</f>
        <v>355000</v>
      </c>
      <c r="I75" s="85">
        <f t="shared" ref="I75:S75" si="27">I71+I72+I73+I74</f>
        <v>10188.5</v>
      </c>
      <c r="J75" s="85">
        <f t="shared" si="27"/>
        <v>10792</v>
      </c>
      <c r="K75" s="85">
        <f t="shared" si="27"/>
        <v>334019.5</v>
      </c>
      <c r="L75" s="85">
        <f t="shared" si="27"/>
        <v>38642.148000000001</v>
      </c>
      <c r="M75" s="85">
        <f t="shared" si="27"/>
        <v>0</v>
      </c>
      <c r="N75" s="85">
        <f t="shared" si="27"/>
        <v>3430.9</v>
      </c>
      <c r="O75" s="85">
        <f t="shared" si="27"/>
        <v>100</v>
      </c>
      <c r="P75" s="85">
        <f t="shared" si="27"/>
        <v>0</v>
      </c>
      <c r="Q75" s="85">
        <f t="shared" si="27"/>
        <v>0</v>
      </c>
      <c r="R75" s="85">
        <f t="shared" si="27"/>
        <v>63153.548000000003</v>
      </c>
      <c r="S75" s="85">
        <f t="shared" si="27"/>
        <v>291846.45199999999</v>
      </c>
    </row>
    <row r="76" spans="1:19" ht="48.6" customHeight="1" thickBot="1" x14ac:dyDescent="0.45">
      <c r="A76" s="111"/>
      <c r="B76" s="157" t="s">
        <v>204</v>
      </c>
      <c r="C76" s="168"/>
      <c r="D76" s="158"/>
      <c r="E76" s="159"/>
      <c r="F76" s="111"/>
      <c r="G76" s="34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84"/>
    </row>
    <row r="77" spans="1:19" ht="48" customHeight="1" thickBot="1" x14ac:dyDescent="0.45">
      <c r="A77" s="25">
        <v>46</v>
      </c>
      <c r="B77" s="32" t="s">
        <v>125</v>
      </c>
      <c r="C77" s="26">
        <v>45627</v>
      </c>
      <c r="D77" s="39" t="s">
        <v>29</v>
      </c>
      <c r="E77" s="90" t="s">
        <v>205</v>
      </c>
      <c r="F77" s="112" t="s">
        <v>206</v>
      </c>
      <c r="G77" s="39" t="s">
        <v>105</v>
      </c>
      <c r="H77" s="29">
        <v>245000</v>
      </c>
      <c r="I77" s="29">
        <f>H77*2.87%</f>
        <v>7031.5</v>
      </c>
      <c r="J77" s="29">
        <f>193525*3.04%</f>
        <v>5883.16</v>
      </c>
      <c r="K77" s="29">
        <f>H77-I77-J77</f>
        <v>232085.34</v>
      </c>
      <c r="L77" s="29">
        <v>46604.2</v>
      </c>
      <c r="M77" s="41"/>
      <c r="N77" s="84"/>
      <c r="O77" s="29">
        <v>25</v>
      </c>
      <c r="P77" s="99"/>
      <c r="Q77" s="84"/>
      <c r="R77" s="82">
        <f>I77+J77+L77+N77+O77+P77</f>
        <v>59543.86</v>
      </c>
      <c r="S77" s="29">
        <f>H77-R77</f>
        <v>185456.14</v>
      </c>
    </row>
    <row r="78" spans="1:19" ht="48.6" customHeight="1" thickBot="1" x14ac:dyDescent="0.45">
      <c r="A78" s="25">
        <v>47</v>
      </c>
      <c r="B78" s="32">
        <v>44936</v>
      </c>
      <c r="C78" s="26">
        <v>45295</v>
      </c>
      <c r="D78" s="39" t="s">
        <v>29</v>
      </c>
      <c r="E78" s="90" t="s">
        <v>207</v>
      </c>
      <c r="F78" s="112" t="s">
        <v>208</v>
      </c>
      <c r="G78" s="39" t="s">
        <v>105</v>
      </c>
      <c r="H78" s="29">
        <v>80000</v>
      </c>
      <c r="I78" s="29">
        <f>H78*2.87%</f>
        <v>2296</v>
      </c>
      <c r="J78" s="29">
        <f>H78*3.04%</f>
        <v>2432</v>
      </c>
      <c r="K78" s="29">
        <f t="shared" ref="K78:K81" si="28">H78-I78-J78</f>
        <v>75272</v>
      </c>
      <c r="L78" s="29">
        <f>7400.87-M78</f>
        <v>7400.87</v>
      </c>
      <c r="M78" s="41">
        <v>0</v>
      </c>
      <c r="N78" s="84"/>
      <c r="O78" s="29">
        <v>25</v>
      </c>
      <c r="P78" s="99"/>
      <c r="Q78" s="84"/>
      <c r="R78" s="82">
        <f>I78+J78+L78+N78+O78+P78</f>
        <v>12153.869999999999</v>
      </c>
      <c r="S78" s="29">
        <f>H78-R78</f>
        <v>67846.13</v>
      </c>
    </row>
    <row r="79" spans="1:19" ht="48.6" customHeight="1" thickBot="1" x14ac:dyDescent="0.45">
      <c r="A79" s="25">
        <v>48</v>
      </c>
      <c r="B79" s="32">
        <v>44572</v>
      </c>
      <c r="C79" s="26">
        <v>45627</v>
      </c>
      <c r="D79" s="39" t="s">
        <v>29</v>
      </c>
      <c r="E79" s="90" t="s">
        <v>209</v>
      </c>
      <c r="F79" s="112" t="s">
        <v>210</v>
      </c>
      <c r="G79" s="39" t="s">
        <v>105</v>
      </c>
      <c r="H79" s="29">
        <v>105000</v>
      </c>
      <c r="I79" s="29">
        <f t="shared" ref="I79:I81" si="29">H79*2.87%</f>
        <v>3013.5</v>
      </c>
      <c r="J79" s="29">
        <f t="shared" ref="J79:J81" si="30">H79*3.04%</f>
        <v>3192</v>
      </c>
      <c r="K79" s="29">
        <f t="shared" si="28"/>
        <v>98794.5</v>
      </c>
      <c r="L79" s="29">
        <v>13281.49</v>
      </c>
      <c r="M79" s="41"/>
      <c r="N79" s="84"/>
      <c r="O79" s="29">
        <v>25</v>
      </c>
      <c r="P79" s="99"/>
      <c r="Q79" s="84"/>
      <c r="R79" s="82">
        <f t="shared" ref="R79:R81" si="31">I79+J79+L79+N79+O79+P79</f>
        <v>19511.989999999998</v>
      </c>
      <c r="S79" s="29">
        <f t="shared" ref="S79:S81" si="32">H79-R79</f>
        <v>85488.010000000009</v>
      </c>
    </row>
    <row r="80" spans="1:19" ht="48" customHeight="1" thickBot="1" x14ac:dyDescent="0.45">
      <c r="A80" s="25">
        <v>49</v>
      </c>
      <c r="B80" s="32">
        <v>44572</v>
      </c>
      <c r="C80" s="26">
        <v>45627</v>
      </c>
      <c r="D80" s="39" t="s">
        <v>29</v>
      </c>
      <c r="E80" s="90" t="s">
        <v>211</v>
      </c>
      <c r="F80" s="112" t="s">
        <v>212</v>
      </c>
      <c r="G80" s="39" t="s">
        <v>105</v>
      </c>
      <c r="H80" s="29">
        <v>70000</v>
      </c>
      <c r="I80" s="29">
        <f t="shared" si="29"/>
        <v>2009</v>
      </c>
      <c r="J80" s="29">
        <f t="shared" si="30"/>
        <v>2128</v>
      </c>
      <c r="K80" s="29">
        <f t="shared" si="28"/>
        <v>65863</v>
      </c>
      <c r="L80" s="29">
        <v>5368.48</v>
      </c>
      <c r="M80" s="41">
        <v>0</v>
      </c>
      <c r="N80" s="84"/>
      <c r="O80" s="29">
        <v>25</v>
      </c>
      <c r="P80" s="99"/>
      <c r="Q80" s="84"/>
      <c r="R80" s="82">
        <f t="shared" si="31"/>
        <v>9530.48</v>
      </c>
      <c r="S80" s="29">
        <f t="shared" si="32"/>
        <v>60469.520000000004</v>
      </c>
    </row>
    <row r="81" spans="1:19" ht="48.6" customHeight="1" thickBot="1" x14ac:dyDescent="0.45">
      <c r="A81" s="25">
        <v>50</v>
      </c>
      <c r="B81" s="32">
        <v>44958</v>
      </c>
      <c r="C81" s="26">
        <v>45627</v>
      </c>
      <c r="D81" s="39" t="s">
        <v>23</v>
      </c>
      <c r="E81" s="90" t="s">
        <v>213</v>
      </c>
      <c r="F81" s="112" t="s">
        <v>214</v>
      </c>
      <c r="G81" s="39" t="s">
        <v>105</v>
      </c>
      <c r="H81" s="29">
        <v>95000</v>
      </c>
      <c r="I81" s="29">
        <f t="shared" si="29"/>
        <v>2726.5</v>
      </c>
      <c r="J81" s="29">
        <f t="shared" si="30"/>
        <v>2888</v>
      </c>
      <c r="K81" s="29">
        <f t="shared" si="28"/>
        <v>89385.5</v>
      </c>
      <c r="L81" s="29">
        <v>10929.24</v>
      </c>
      <c r="M81" s="41"/>
      <c r="N81" s="84"/>
      <c r="O81" s="29">
        <v>25</v>
      </c>
      <c r="P81" s="41">
        <v>0</v>
      </c>
      <c r="Q81" s="84"/>
      <c r="R81" s="82">
        <f t="shared" si="31"/>
        <v>16568.739999999998</v>
      </c>
      <c r="S81" s="29">
        <f t="shared" si="32"/>
        <v>78431.260000000009</v>
      </c>
    </row>
    <row r="82" spans="1:19" ht="48.6" customHeight="1" thickBot="1" x14ac:dyDescent="0.45">
      <c r="A82" s="25"/>
      <c r="B82" s="148" t="s">
        <v>123</v>
      </c>
      <c r="C82" s="149"/>
      <c r="D82" s="149"/>
      <c r="E82" s="149"/>
      <c r="F82" s="150"/>
      <c r="G82" s="84"/>
      <c r="H82" s="85">
        <f>H77+H78+H79+H80+H81</f>
        <v>595000</v>
      </c>
      <c r="I82" s="85">
        <f t="shared" ref="I82:S82" si="33">I77+I78+I79+I80+I81</f>
        <v>17076.5</v>
      </c>
      <c r="J82" s="85">
        <f t="shared" si="33"/>
        <v>16523.16</v>
      </c>
      <c r="K82" s="85">
        <f t="shared" si="33"/>
        <v>561400.34</v>
      </c>
      <c r="L82" s="85">
        <f>L77+L78+L79+L80+L81</f>
        <v>83584.28</v>
      </c>
      <c r="M82" s="85"/>
      <c r="N82" s="85">
        <f t="shared" si="33"/>
        <v>0</v>
      </c>
      <c r="O82" s="85">
        <f t="shared" si="33"/>
        <v>125</v>
      </c>
      <c r="P82" s="85">
        <f t="shared" si="33"/>
        <v>0</v>
      </c>
      <c r="Q82" s="85">
        <f t="shared" si="33"/>
        <v>0</v>
      </c>
      <c r="R82" s="85">
        <f t="shared" si="33"/>
        <v>117308.94</v>
      </c>
      <c r="S82" s="85">
        <f t="shared" si="33"/>
        <v>477691.06000000006</v>
      </c>
    </row>
    <row r="83" spans="1:19" ht="48.6" customHeight="1" thickBot="1" x14ac:dyDescent="0.45">
      <c r="A83" s="25"/>
      <c r="B83" s="157" t="s">
        <v>215</v>
      </c>
      <c r="C83" s="158"/>
      <c r="D83" s="158"/>
      <c r="E83" s="158"/>
      <c r="F83" s="35"/>
      <c r="G83" s="34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84"/>
    </row>
    <row r="84" spans="1:19" ht="36.6" customHeight="1" thickBot="1" x14ac:dyDescent="0.45">
      <c r="A84" s="25">
        <v>51</v>
      </c>
      <c r="B84" s="32">
        <v>43840</v>
      </c>
      <c r="C84" s="32">
        <v>45292</v>
      </c>
      <c r="D84" s="26" t="s">
        <v>23</v>
      </c>
      <c r="E84" s="90" t="s">
        <v>216</v>
      </c>
      <c r="F84" s="90" t="s">
        <v>217</v>
      </c>
      <c r="G84" s="39" t="s">
        <v>105</v>
      </c>
      <c r="H84" s="29">
        <v>250000</v>
      </c>
      <c r="I84" s="41">
        <f t="shared" ref="I84:I91" si="34">H84*2.87%</f>
        <v>7175</v>
      </c>
      <c r="J84" s="29">
        <f>193525*3.04%</f>
        <v>5883.16</v>
      </c>
      <c r="K84" s="41">
        <f t="shared" ref="K84:K91" si="35">H84-I84-J84</f>
        <v>236941.84</v>
      </c>
      <c r="L84" s="82">
        <v>47473.4</v>
      </c>
      <c r="M84" s="29"/>
      <c r="N84" s="29">
        <v>1715.46</v>
      </c>
      <c r="O84" s="29">
        <v>25</v>
      </c>
      <c r="P84" s="29"/>
      <c r="Q84" s="109">
        <v>0</v>
      </c>
      <c r="R84" s="82">
        <f>I84+J84+N84+O84+P84+L84-Q84</f>
        <v>62272.020000000004</v>
      </c>
      <c r="S84" s="29">
        <f>H84-R84</f>
        <v>187727.97999999998</v>
      </c>
    </row>
    <row r="85" spans="1:19" ht="36.6" customHeight="1" thickBot="1" x14ac:dyDescent="0.45">
      <c r="A85" s="25">
        <v>52</v>
      </c>
      <c r="B85" s="32" t="s">
        <v>218</v>
      </c>
      <c r="C85" s="32">
        <v>45292</v>
      </c>
      <c r="D85" s="26" t="s">
        <v>29</v>
      </c>
      <c r="E85" s="90" t="s">
        <v>219</v>
      </c>
      <c r="F85" s="90" t="s">
        <v>220</v>
      </c>
      <c r="G85" s="39" t="s">
        <v>105</v>
      </c>
      <c r="H85" s="29">
        <v>165000</v>
      </c>
      <c r="I85" s="41">
        <f t="shared" si="34"/>
        <v>4735.5</v>
      </c>
      <c r="J85" s="29">
        <f t="shared" ref="J85:J91" si="36">H85*3.04%</f>
        <v>5016</v>
      </c>
      <c r="K85" s="41">
        <f t="shared" si="35"/>
        <v>155248.5</v>
      </c>
      <c r="L85" s="82">
        <v>27394.99</v>
      </c>
      <c r="M85" s="29"/>
      <c r="N85" s="29"/>
      <c r="O85" s="29">
        <v>25</v>
      </c>
      <c r="P85" s="29"/>
      <c r="Q85" s="109"/>
      <c r="R85" s="82">
        <f t="shared" ref="R85:R91" si="37">I85+J85+L85+N85+O85+P85</f>
        <v>37171.490000000005</v>
      </c>
      <c r="S85" s="29">
        <f t="shared" ref="S85:S91" si="38">H85-R85</f>
        <v>127828.51</v>
      </c>
    </row>
    <row r="86" spans="1:19" ht="36" customHeight="1" thickBot="1" x14ac:dyDescent="0.45">
      <c r="A86" s="25">
        <v>53</v>
      </c>
      <c r="B86" s="32">
        <v>44200</v>
      </c>
      <c r="C86" s="32">
        <v>45292</v>
      </c>
      <c r="D86" s="26" t="s">
        <v>23</v>
      </c>
      <c r="E86" s="90" t="s">
        <v>221</v>
      </c>
      <c r="F86" s="112" t="s">
        <v>222</v>
      </c>
      <c r="G86" s="39" t="s">
        <v>105</v>
      </c>
      <c r="H86" s="29">
        <v>95000</v>
      </c>
      <c r="I86" s="41">
        <f t="shared" si="34"/>
        <v>2726.5</v>
      </c>
      <c r="J86" s="29">
        <f t="shared" si="36"/>
        <v>2888</v>
      </c>
      <c r="K86" s="41">
        <f t="shared" si="35"/>
        <v>89385.5</v>
      </c>
      <c r="L86" s="82">
        <v>10929.31</v>
      </c>
      <c r="M86" s="29"/>
      <c r="N86" s="29"/>
      <c r="O86" s="29">
        <v>25</v>
      </c>
      <c r="P86" s="29"/>
      <c r="Q86" s="109"/>
      <c r="R86" s="82">
        <f t="shared" si="37"/>
        <v>16568.809999999998</v>
      </c>
      <c r="S86" s="29">
        <f t="shared" si="38"/>
        <v>78431.19</v>
      </c>
    </row>
    <row r="87" spans="1:19" ht="37.15" customHeight="1" thickBot="1" x14ac:dyDescent="0.45">
      <c r="A87" s="25">
        <v>54</v>
      </c>
      <c r="B87" s="32">
        <v>44206</v>
      </c>
      <c r="C87" s="32">
        <v>45292</v>
      </c>
      <c r="D87" s="26" t="s">
        <v>29</v>
      </c>
      <c r="E87" s="90" t="s">
        <v>223</v>
      </c>
      <c r="F87" s="90" t="s">
        <v>137</v>
      </c>
      <c r="G87" s="39" t="s">
        <v>105</v>
      </c>
      <c r="H87" s="29">
        <v>75000</v>
      </c>
      <c r="I87" s="41">
        <f t="shared" si="34"/>
        <v>2152.5</v>
      </c>
      <c r="J87" s="29">
        <f t="shared" si="36"/>
        <v>2280</v>
      </c>
      <c r="K87" s="41">
        <f t="shared" si="35"/>
        <v>70567.5</v>
      </c>
      <c r="L87" s="82">
        <v>6309.38</v>
      </c>
      <c r="M87" s="29"/>
      <c r="N87" s="29"/>
      <c r="O87" s="29">
        <v>25</v>
      </c>
      <c r="P87" s="29"/>
      <c r="Q87" s="82">
        <v>0</v>
      </c>
      <c r="R87" s="82">
        <f>I87+J87+L87+N87+O87+P87-Q87</f>
        <v>10766.880000000001</v>
      </c>
      <c r="S87" s="29">
        <f t="shared" si="38"/>
        <v>64233.119999999995</v>
      </c>
    </row>
    <row r="88" spans="1:19" ht="62.45" customHeight="1" thickBot="1" x14ac:dyDescent="0.45">
      <c r="A88" s="25">
        <v>55</v>
      </c>
      <c r="B88" s="32" t="s">
        <v>225</v>
      </c>
      <c r="C88" s="32" t="s">
        <v>258</v>
      </c>
      <c r="D88" s="26" t="s">
        <v>23</v>
      </c>
      <c r="E88" s="90" t="s">
        <v>226</v>
      </c>
      <c r="F88" s="113" t="s">
        <v>224</v>
      </c>
      <c r="G88" s="26" t="s">
        <v>105</v>
      </c>
      <c r="H88" s="29">
        <v>80000</v>
      </c>
      <c r="I88" s="41">
        <f t="shared" si="34"/>
        <v>2296</v>
      </c>
      <c r="J88" s="29">
        <f t="shared" si="36"/>
        <v>2432</v>
      </c>
      <c r="K88" s="29">
        <f t="shared" si="35"/>
        <v>75272</v>
      </c>
      <c r="L88" s="82">
        <v>7400.87</v>
      </c>
      <c r="M88" s="29"/>
      <c r="N88" s="29"/>
      <c r="O88" s="29">
        <v>25</v>
      </c>
      <c r="P88" s="29"/>
      <c r="Q88" s="82"/>
      <c r="R88" s="82">
        <f t="shared" si="37"/>
        <v>12153.869999999999</v>
      </c>
      <c r="S88" s="29">
        <f t="shared" si="38"/>
        <v>67846.13</v>
      </c>
    </row>
    <row r="89" spans="1:19" ht="48.6" customHeight="1" thickBot="1" x14ac:dyDescent="0.45">
      <c r="A89" s="25">
        <v>57</v>
      </c>
      <c r="B89" s="32">
        <v>44958</v>
      </c>
      <c r="C89" s="32">
        <v>45297</v>
      </c>
      <c r="D89" s="26" t="s">
        <v>29</v>
      </c>
      <c r="E89" s="90" t="s">
        <v>229</v>
      </c>
      <c r="F89" s="113" t="s">
        <v>228</v>
      </c>
      <c r="G89" s="26" t="s">
        <v>105</v>
      </c>
      <c r="H89" s="29">
        <v>55000</v>
      </c>
      <c r="I89" s="41">
        <f t="shared" si="34"/>
        <v>1578.5</v>
      </c>
      <c r="J89" s="29">
        <f t="shared" si="36"/>
        <v>1672</v>
      </c>
      <c r="K89" s="29">
        <f t="shared" si="35"/>
        <v>51749.5</v>
      </c>
      <c r="L89" s="41">
        <v>2559.6799999999998</v>
      </c>
      <c r="M89" s="29"/>
      <c r="N89" s="29"/>
      <c r="O89" s="29">
        <v>25</v>
      </c>
      <c r="P89" s="29"/>
      <c r="Q89" s="82"/>
      <c r="R89" s="82">
        <f t="shared" si="37"/>
        <v>5835.18</v>
      </c>
      <c r="S89" s="29">
        <f t="shared" si="38"/>
        <v>49164.82</v>
      </c>
    </row>
    <row r="90" spans="1:19" ht="61.15" customHeight="1" thickBot="1" x14ac:dyDescent="0.45">
      <c r="A90" s="25">
        <v>58</v>
      </c>
      <c r="B90" s="32">
        <v>45023</v>
      </c>
      <c r="C90" s="32">
        <v>45297</v>
      </c>
      <c r="D90" s="26" t="s">
        <v>29</v>
      </c>
      <c r="E90" s="90" t="s">
        <v>230</v>
      </c>
      <c r="F90" s="113" t="s">
        <v>231</v>
      </c>
      <c r="G90" s="26" t="s">
        <v>105</v>
      </c>
      <c r="H90" s="29">
        <v>140000</v>
      </c>
      <c r="I90" s="41">
        <f t="shared" si="34"/>
        <v>4018</v>
      </c>
      <c r="J90" s="29">
        <f t="shared" si="36"/>
        <v>4256</v>
      </c>
      <c r="K90" s="29">
        <f t="shared" si="35"/>
        <v>131726</v>
      </c>
      <c r="L90" s="82">
        <v>21514.37</v>
      </c>
      <c r="M90" s="29"/>
      <c r="N90" s="29">
        <v>0</v>
      </c>
      <c r="O90" s="29">
        <v>25</v>
      </c>
      <c r="P90" s="29"/>
      <c r="Q90" s="82"/>
      <c r="R90" s="82">
        <f t="shared" si="37"/>
        <v>29813.37</v>
      </c>
      <c r="S90" s="29">
        <f t="shared" si="38"/>
        <v>110186.63</v>
      </c>
    </row>
    <row r="91" spans="1:19" ht="61.15" customHeight="1" thickBot="1" x14ac:dyDescent="0.45">
      <c r="A91" s="25">
        <v>59</v>
      </c>
      <c r="B91" s="32" t="s">
        <v>232</v>
      </c>
      <c r="C91" s="32">
        <v>45296</v>
      </c>
      <c r="D91" s="26" t="s">
        <v>29</v>
      </c>
      <c r="E91" s="90" t="s">
        <v>233</v>
      </c>
      <c r="F91" s="113" t="s">
        <v>234</v>
      </c>
      <c r="G91" s="26" t="s">
        <v>105</v>
      </c>
      <c r="H91" s="29">
        <v>75000</v>
      </c>
      <c r="I91" s="41">
        <f t="shared" si="34"/>
        <v>2152.5</v>
      </c>
      <c r="J91" s="29">
        <f t="shared" si="36"/>
        <v>2280</v>
      </c>
      <c r="K91" s="29">
        <f t="shared" si="35"/>
        <v>70567.5</v>
      </c>
      <c r="L91" s="41">
        <v>6309.38</v>
      </c>
      <c r="M91" s="29"/>
      <c r="N91" s="29">
        <v>0</v>
      </c>
      <c r="O91" s="29">
        <v>25</v>
      </c>
      <c r="P91" s="29"/>
      <c r="Q91" s="82"/>
      <c r="R91" s="82">
        <f t="shared" si="37"/>
        <v>10766.880000000001</v>
      </c>
      <c r="S91" s="29">
        <f t="shared" si="38"/>
        <v>64233.119999999995</v>
      </c>
    </row>
    <row r="92" spans="1:19" ht="61.15" customHeight="1" thickBot="1" x14ac:dyDescent="0.45">
      <c r="A92" s="25"/>
      <c r="B92" s="32" t="s">
        <v>263</v>
      </c>
      <c r="C92" s="32">
        <v>45300</v>
      </c>
      <c r="D92" s="26" t="s">
        <v>29</v>
      </c>
      <c r="E92" s="90" t="s">
        <v>264</v>
      </c>
      <c r="F92" s="113" t="s">
        <v>228</v>
      </c>
      <c r="G92" s="26" t="s">
        <v>105</v>
      </c>
      <c r="H92" s="29">
        <v>60000</v>
      </c>
      <c r="I92" s="41">
        <f t="shared" ref="I92" si="39">H92*2.87%</f>
        <v>1722</v>
      </c>
      <c r="J92" s="29">
        <f t="shared" ref="J92" si="40">H92*3.04%</f>
        <v>1824</v>
      </c>
      <c r="K92" s="29">
        <f t="shared" ref="K92" si="41">H92-I92-J92</f>
        <v>56454</v>
      </c>
      <c r="L92" s="41">
        <v>3486.68</v>
      </c>
      <c r="M92" s="29"/>
      <c r="N92" s="29">
        <v>0</v>
      </c>
      <c r="O92" s="29">
        <v>25</v>
      </c>
      <c r="P92" s="29"/>
      <c r="Q92" s="82"/>
      <c r="R92" s="82">
        <f t="shared" ref="R92" si="42">I92+J92+L92+N92+O92+P92</f>
        <v>7057.68</v>
      </c>
      <c r="S92" s="29">
        <f t="shared" ref="S92" si="43">H92-R92</f>
        <v>52942.32</v>
      </c>
    </row>
    <row r="93" spans="1:19" ht="48.6" customHeight="1" thickBot="1" x14ac:dyDescent="0.45">
      <c r="A93" s="111"/>
      <c r="B93" s="148" t="s">
        <v>123</v>
      </c>
      <c r="C93" s="149"/>
      <c r="D93" s="149"/>
      <c r="E93" s="149"/>
      <c r="F93" s="149"/>
      <c r="G93" s="34"/>
      <c r="H93" s="85">
        <f>H84+H85+H86+H87+H88+H89+H90+H91+H92</f>
        <v>995000</v>
      </c>
      <c r="I93" s="85">
        <f t="shared" ref="I93:S93" si="44">I84+I85+I86+I87+I88+I89+I90+I91+I92</f>
        <v>28556.5</v>
      </c>
      <c r="J93" s="85">
        <f t="shared" si="44"/>
        <v>28531.16</v>
      </c>
      <c r="K93" s="85">
        <f t="shared" si="44"/>
        <v>937912.34</v>
      </c>
      <c r="L93" s="85">
        <f t="shared" si="44"/>
        <v>133378.06</v>
      </c>
      <c r="M93" s="85">
        <f t="shared" si="44"/>
        <v>0</v>
      </c>
      <c r="N93" s="85">
        <f t="shared" si="44"/>
        <v>1715.46</v>
      </c>
      <c r="O93" s="85">
        <f t="shared" si="44"/>
        <v>225</v>
      </c>
      <c r="P93" s="85">
        <f t="shared" si="44"/>
        <v>0</v>
      </c>
      <c r="Q93" s="85">
        <f t="shared" si="44"/>
        <v>0</v>
      </c>
      <c r="R93" s="85">
        <f t="shared" si="44"/>
        <v>192406.18</v>
      </c>
      <c r="S93" s="85">
        <f t="shared" si="44"/>
        <v>802593.81999999983</v>
      </c>
    </row>
    <row r="94" spans="1:19" ht="48.6" customHeight="1" thickBot="1" x14ac:dyDescent="0.45">
      <c r="A94" s="111"/>
      <c r="B94" s="157" t="s">
        <v>235</v>
      </c>
      <c r="C94" s="158"/>
      <c r="D94" s="158"/>
      <c r="E94" s="158"/>
      <c r="F94" s="35"/>
      <c r="G94" s="34"/>
      <c r="H94" s="84"/>
      <c r="I94" s="84"/>
      <c r="J94" s="84"/>
      <c r="K94" s="84"/>
      <c r="L94" s="84"/>
      <c r="M94" s="84"/>
      <c r="N94" s="84"/>
      <c r="O94" s="84"/>
      <c r="P94" s="84"/>
      <c r="Q94" s="89"/>
      <c r="R94" s="89"/>
      <c r="S94" s="84"/>
    </row>
    <row r="95" spans="1:19" ht="37.5" customHeight="1" thickBot="1" x14ac:dyDescent="0.45">
      <c r="A95" s="25">
        <v>60</v>
      </c>
      <c r="B95" s="26" t="s">
        <v>236</v>
      </c>
      <c r="C95" s="26">
        <v>45295</v>
      </c>
      <c r="D95" s="27" t="s">
        <v>29</v>
      </c>
      <c r="E95" s="28" t="s">
        <v>237</v>
      </c>
      <c r="F95" s="28" t="s">
        <v>238</v>
      </c>
      <c r="G95" s="27" t="s">
        <v>105</v>
      </c>
      <c r="H95" s="29">
        <v>115000</v>
      </c>
      <c r="I95" s="30">
        <f>+H95*2.87%</f>
        <v>3300.5</v>
      </c>
      <c r="J95" s="30">
        <f t="shared" ref="J95" si="45">H95*3.04%</f>
        <v>3496</v>
      </c>
      <c r="K95" s="30">
        <f>H95-I95-J95</f>
        <v>108203.5</v>
      </c>
      <c r="L95" s="51">
        <v>15633.74</v>
      </c>
      <c r="M95" s="51"/>
      <c r="N95" s="30"/>
      <c r="O95" s="30">
        <v>25</v>
      </c>
      <c r="P95" s="30"/>
      <c r="Q95" s="87">
        <v>0</v>
      </c>
      <c r="R95" s="87">
        <f>I95+J95+L95+N95+O95+P95-Q95</f>
        <v>22455.239999999998</v>
      </c>
      <c r="S95" s="30">
        <f>H95-R95</f>
        <v>92544.760000000009</v>
      </c>
    </row>
    <row r="96" spans="1:19" ht="37.5" customHeight="1" thickBot="1" x14ac:dyDescent="0.45">
      <c r="A96" s="25"/>
      <c r="B96" s="32"/>
      <c r="C96" s="39"/>
      <c r="D96" s="100"/>
      <c r="E96" s="50"/>
      <c r="F96" s="28"/>
      <c r="G96" s="27"/>
      <c r="H96" s="114">
        <f>H95</f>
        <v>115000</v>
      </c>
      <c r="I96" s="114">
        <f>I95</f>
        <v>3300.5</v>
      </c>
      <c r="J96" s="114">
        <f>J95</f>
        <v>3496</v>
      </c>
      <c r="K96" s="114">
        <f t="shared" ref="K96:R96" si="46">K95</f>
        <v>108203.5</v>
      </c>
      <c r="L96" s="114">
        <f>L95</f>
        <v>15633.74</v>
      </c>
      <c r="M96" s="114"/>
      <c r="N96" s="114">
        <f t="shared" si="46"/>
        <v>0</v>
      </c>
      <c r="O96" s="114">
        <f t="shared" si="46"/>
        <v>25</v>
      </c>
      <c r="P96" s="114">
        <f t="shared" si="46"/>
        <v>0</v>
      </c>
      <c r="Q96" s="114">
        <f t="shared" si="46"/>
        <v>0</v>
      </c>
      <c r="R96" s="115">
        <f t="shared" si="46"/>
        <v>22455.239999999998</v>
      </c>
      <c r="S96" s="114">
        <f>S95</f>
        <v>92544.760000000009</v>
      </c>
    </row>
    <row r="97" spans="1:19" ht="48.6" customHeight="1" thickBot="1" x14ac:dyDescent="0.45">
      <c r="A97" s="25"/>
      <c r="B97" s="157" t="s">
        <v>239</v>
      </c>
      <c r="C97" s="158"/>
      <c r="D97" s="158"/>
      <c r="E97" s="159"/>
      <c r="F97" s="28"/>
      <c r="G97" s="116"/>
      <c r="H97" s="117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9"/>
    </row>
    <row r="98" spans="1:19" ht="37.15" customHeight="1" thickBot="1" x14ac:dyDescent="0.45">
      <c r="A98" s="25">
        <v>61</v>
      </c>
      <c r="B98" s="26">
        <v>44113</v>
      </c>
      <c r="C98" s="26">
        <v>45292</v>
      </c>
      <c r="D98" s="27" t="s">
        <v>23</v>
      </c>
      <c r="E98" s="28" t="s">
        <v>240</v>
      </c>
      <c r="F98" s="28" t="s">
        <v>241</v>
      </c>
      <c r="G98" s="27" t="s">
        <v>105</v>
      </c>
      <c r="H98" s="48">
        <v>250000</v>
      </c>
      <c r="I98" s="49">
        <f t="shared" ref="I98:I105" si="47">+H98*2.87%</f>
        <v>7175</v>
      </c>
      <c r="J98" s="49">
        <f>193525*3.04%</f>
        <v>5883.16</v>
      </c>
      <c r="K98" s="49">
        <f t="shared" ref="K98:K105" si="48">H98-I98-J98</f>
        <v>236941.84</v>
      </c>
      <c r="L98" s="120">
        <v>47473.4</v>
      </c>
      <c r="M98" s="120"/>
      <c r="N98" s="49">
        <v>1715.46</v>
      </c>
      <c r="O98" s="49">
        <v>25</v>
      </c>
      <c r="P98" s="49">
        <v>0</v>
      </c>
      <c r="Q98" s="121"/>
      <c r="R98" s="121">
        <f>I98+J98+L98+P98+O98+N98</f>
        <v>62272.02</v>
      </c>
      <c r="S98" s="49">
        <f>H98-R98</f>
        <v>187727.98</v>
      </c>
    </row>
    <row r="99" spans="1:19" ht="61.9" customHeight="1" thickBot="1" x14ac:dyDescent="0.45">
      <c r="A99" s="25">
        <v>62</v>
      </c>
      <c r="B99" s="26">
        <v>44621</v>
      </c>
      <c r="C99" s="26">
        <v>45297</v>
      </c>
      <c r="D99" s="27" t="s">
        <v>29</v>
      </c>
      <c r="E99" s="50" t="s">
        <v>242</v>
      </c>
      <c r="F99" s="122" t="s">
        <v>243</v>
      </c>
      <c r="G99" s="123" t="s">
        <v>105</v>
      </c>
      <c r="H99" s="29">
        <v>85000</v>
      </c>
      <c r="I99" s="29">
        <f t="shared" si="47"/>
        <v>2439.5</v>
      </c>
      <c r="J99" s="29">
        <f t="shared" ref="J99:J105" si="49">H99*3.04%</f>
        <v>2584</v>
      </c>
      <c r="K99" s="29">
        <f t="shared" si="48"/>
        <v>79976.5</v>
      </c>
      <c r="L99" s="51">
        <v>8576.99</v>
      </c>
      <c r="M99" s="51"/>
      <c r="N99" s="51"/>
      <c r="O99" s="51">
        <v>25</v>
      </c>
      <c r="P99" s="51">
        <v>0</v>
      </c>
      <c r="Q99" s="124"/>
      <c r="R99" s="121">
        <f t="shared" ref="R99:R105" si="50">I99+J99+L99+P99+O99+N99</f>
        <v>13625.49</v>
      </c>
      <c r="S99" s="49">
        <f t="shared" ref="S99:S105" si="51">H99-R99</f>
        <v>71374.509999999995</v>
      </c>
    </row>
    <row r="100" spans="1:19" ht="69" customHeight="1" thickBot="1" x14ac:dyDescent="0.45">
      <c r="A100" s="25">
        <v>63</v>
      </c>
      <c r="B100" s="26">
        <v>44958</v>
      </c>
      <c r="C100" s="26">
        <v>45292</v>
      </c>
      <c r="D100" s="27" t="s">
        <v>29</v>
      </c>
      <c r="E100" s="50" t="s">
        <v>244</v>
      </c>
      <c r="F100" s="122" t="s">
        <v>245</v>
      </c>
      <c r="G100" s="123" t="s">
        <v>105</v>
      </c>
      <c r="H100" s="29">
        <v>95000</v>
      </c>
      <c r="I100" s="29">
        <f t="shared" si="47"/>
        <v>2726.5</v>
      </c>
      <c r="J100" s="29">
        <f t="shared" si="49"/>
        <v>2888</v>
      </c>
      <c r="K100" s="29">
        <f t="shared" si="48"/>
        <v>89385.5</v>
      </c>
      <c r="L100" s="51">
        <v>10929.24</v>
      </c>
      <c r="M100" s="51"/>
      <c r="N100" s="51"/>
      <c r="O100" s="51">
        <v>25</v>
      </c>
      <c r="P100" s="51">
        <v>0</v>
      </c>
      <c r="Q100" s="124"/>
      <c r="R100" s="121">
        <f t="shared" si="50"/>
        <v>16568.739999999998</v>
      </c>
      <c r="S100" s="49">
        <f t="shared" si="51"/>
        <v>78431.260000000009</v>
      </c>
    </row>
    <row r="101" spans="1:19" ht="63.6" customHeight="1" thickBot="1" x14ac:dyDescent="0.45">
      <c r="A101" s="25">
        <v>64</v>
      </c>
      <c r="B101" s="26">
        <v>44958</v>
      </c>
      <c r="C101" s="26">
        <v>45293</v>
      </c>
      <c r="D101" s="27" t="s">
        <v>23</v>
      </c>
      <c r="E101" s="50" t="s">
        <v>246</v>
      </c>
      <c r="F101" s="122" t="s">
        <v>247</v>
      </c>
      <c r="G101" s="123" t="s">
        <v>105</v>
      </c>
      <c r="H101" s="29">
        <v>75000</v>
      </c>
      <c r="I101" s="29">
        <f t="shared" si="47"/>
        <v>2152.5</v>
      </c>
      <c r="J101" s="29">
        <f t="shared" si="49"/>
        <v>2280</v>
      </c>
      <c r="K101" s="29">
        <f t="shared" si="48"/>
        <v>70567.5</v>
      </c>
      <c r="L101" s="51">
        <v>6309.38</v>
      </c>
      <c r="M101" s="51"/>
      <c r="N101" s="51"/>
      <c r="O101" s="51">
        <v>25</v>
      </c>
      <c r="P101" s="51">
        <v>0</v>
      </c>
      <c r="Q101" s="124"/>
      <c r="R101" s="121">
        <f t="shared" si="50"/>
        <v>10766.880000000001</v>
      </c>
      <c r="S101" s="49">
        <f t="shared" si="51"/>
        <v>64233.119999999995</v>
      </c>
    </row>
    <row r="102" spans="1:19" ht="63.6" customHeight="1" thickBot="1" x14ac:dyDescent="0.45">
      <c r="A102" s="25">
        <v>65</v>
      </c>
      <c r="B102" s="26">
        <v>44929</v>
      </c>
      <c r="C102" s="26">
        <v>45294</v>
      </c>
      <c r="D102" s="27" t="s">
        <v>29</v>
      </c>
      <c r="E102" s="50" t="s">
        <v>248</v>
      </c>
      <c r="F102" s="122" t="s">
        <v>247</v>
      </c>
      <c r="G102" s="123" t="s">
        <v>105</v>
      </c>
      <c r="H102" s="29">
        <v>80000</v>
      </c>
      <c r="I102" s="29">
        <f t="shared" si="47"/>
        <v>2296</v>
      </c>
      <c r="J102" s="29">
        <f t="shared" si="49"/>
        <v>2432</v>
      </c>
      <c r="K102" s="29">
        <f t="shared" si="48"/>
        <v>75272</v>
      </c>
      <c r="L102" s="51">
        <v>7400.87</v>
      </c>
      <c r="M102" s="51"/>
      <c r="N102" s="51"/>
      <c r="O102" s="51">
        <v>25</v>
      </c>
      <c r="P102" s="51">
        <v>0</v>
      </c>
      <c r="Q102" s="124"/>
      <c r="R102" s="121">
        <f t="shared" si="50"/>
        <v>12153.869999999999</v>
      </c>
      <c r="S102" s="49">
        <f t="shared" si="51"/>
        <v>67846.13</v>
      </c>
    </row>
    <row r="103" spans="1:19" ht="63.6" customHeight="1" thickBot="1" x14ac:dyDescent="0.45">
      <c r="A103" s="25">
        <v>66</v>
      </c>
      <c r="B103" s="26">
        <v>44932</v>
      </c>
      <c r="C103" s="26">
        <v>45297</v>
      </c>
      <c r="D103" s="27" t="s">
        <v>29</v>
      </c>
      <c r="E103" s="50" t="s">
        <v>249</v>
      </c>
      <c r="F103" s="122" t="s">
        <v>250</v>
      </c>
      <c r="G103" s="123" t="s">
        <v>105</v>
      </c>
      <c r="H103" s="29">
        <v>65000</v>
      </c>
      <c r="I103" s="29">
        <f t="shared" si="47"/>
        <v>1865.5</v>
      </c>
      <c r="J103" s="29">
        <f t="shared" si="49"/>
        <v>1976</v>
      </c>
      <c r="K103" s="29">
        <f t="shared" si="48"/>
        <v>61158.5</v>
      </c>
      <c r="L103" s="51">
        <v>4427.58</v>
      </c>
      <c r="M103" s="51"/>
      <c r="N103" s="51"/>
      <c r="O103" s="51">
        <v>25</v>
      </c>
      <c r="P103" s="51">
        <v>0</v>
      </c>
      <c r="Q103" s="124"/>
      <c r="R103" s="121">
        <f t="shared" si="50"/>
        <v>8294.08</v>
      </c>
      <c r="S103" s="49">
        <f t="shared" si="51"/>
        <v>56705.919999999998</v>
      </c>
    </row>
    <row r="104" spans="1:19" ht="63.6" customHeight="1" thickBot="1" x14ac:dyDescent="0.45">
      <c r="A104" s="25">
        <v>67</v>
      </c>
      <c r="B104" s="26">
        <v>44932</v>
      </c>
      <c r="C104" s="26">
        <v>45297</v>
      </c>
      <c r="D104" s="27" t="s">
        <v>29</v>
      </c>
      <c r="E104" s="50" t="s">
        <v>251</v>
      </c>
      <c r="F104" s="122" t="s">
        <v>252</v>
      </c>
      <c r="G104" s="123" t="s">
        <v>105</v>
      </c>
      <c r="H104" s="29">
        <v>60000</v>
      </c>
      <c r="I104" s="29">
        <f t="shared" si="47"/>
        <v>1722</v>
      </c>
      <c r="J104" s="29">
        <f t="shared" si="49"/>
        <v>1824</v>
      </c>
      <c r="K104" s="29">
        <f t="shared" si="48"/>
        <v>56454</v>
      </c>
      <c r="L104" s="51">
        <v>3486.68</v>
      </c>
      <c r="M104" s="51"/>
      <c r="N104" s="51"/>
      <c r="O104" s="51">
        <v>25</v>
      </c>
      <c r="P104" s="51">
        <v>0</v>
      </c>
      <c r="Q104" s="124"/>
      <c r="R104" s="121">
        <f t="shared" si="50"/>
        <v>7057.68</v>
      </c>
      <c r="S104" s="49">
        <f t="shared" si="51"/>
        <v>52942.32</v>
      </c>
    </row>
    <row r="105" spans="1:19" ht="63.6" customHeight="1" thickBot="1" x14ac:dyDescent="0.45">
      <c r="A105" s="25">
        <v>68</v>
      </c>
      <c r="B105" s="26">
        <v>44937</v>
      </c>
      <c r="C105" s="26">
        <v>45296</v>
      </c>
      <c r="D105" s="27" t="s">
        <v>29</v>
      </c>
      <c r="E105" s="50" t="s">
        <v>253</v>
      </c>
      <c r="F105" s="122" t="s">
        <v>254</v>
      </c>
      <c r="G105" s="123" t="s">
        <v>105</v>
      </c>
      <c r="H105" s="29">
        <v>82000</v>
      </c>
      <c r="I105" s="29">
        <f t="shared" si="47"/>
        <v>2353.4</v>
      </c>
      <c r="J105" s="29">
        <f t="shared" si="49"/>
        <v>2492.8000000000002</v>
      </c>
      <c r="K105" s="29">
        <f t="shared" si="48"/>
        <v>77153.8</v>
      </c>
      <c r="L105" s="51">
        <v>7871.32</v>
      </c>
      <c r="M105" s="51"/>
      <c r="N105" s="51"/>
      <c r="O105" s="51">
        <v>25</v>
      </c>
      <c r="P105" s="51">
        <v>0</v>
      </c>
      <c r="Q105" s="124"/>
      <c r="R105" s="121">
        <f t="shared" si="50"/>
        <v>12742.52</v>
      </c>
      <c r="S105" s="49">
        <f t="shared" si="51"/>
        <v>69257.48</v>
      </c>
    </row>
    <row r="106" spans="1:19" ht="48.6" customHeight="1" thickBot="1" x14ac:dyDescent="0.45">
      <c r="A106" s="25"/>
      <c r="B106" s="148" t="s">
        <v>123</v>
      </c>
      <c r="C106" s="149"/>
      <c r="D106" s="149"/>
      <c r="E106" s="149"/>
      <c r="F106" s="150"/>
      <c r="G106" s="28"/>
      <c r="H106" s="85">
        <f>SUM(H98:H105)</f>
        <v>792000</v>
      </c>
      <c r="I106" s="85">
        <f t="shared" ref="I106:R106" si="52">SUM(I98:I105)</f>
        <v>22730.400000000001</v>
      </c>
      <c r="J106" s="85">
        <f t="shared" si="52"/>
        <v>22359.96</v>
      </c>
      <c r="K106" s="85">
        <f t="shared" si="52"/>
        <v>746909.64</v>
      </c>
      <c r="L106" s="85">
        <f>SUM(L98:L105)</f>
        <v>96475.459999999992</v>
      </c>
      <c r="M106" s="85">
        <f t="shared" si="52"/>
        <v>0</v>
      </c>
      <c r="N106" s="85">
        <f t="shared" si="52"/>
        <v>1715.46</v>
      </c>
      <c r="O106" s="85">
        <f t="shared" si="52"/>
        <v>200</v>
      </c>
      <c r="P106" s="85">
        <f t="shared" si="52"/>
        <v>0</v>
      </c>
      <c r="Q106" s="85">
        <f t="shared" si="52"/>
        <v>0</v>
      </c>
      <c r="R106" s="85">
        <f t="shared" si="52"/>
        <v>143481.28</v>
      </c>
      <c r="S106" s="85">
        <f>SUM(S98:S105)</f>
        <v>648518.72</v>
      </c>
    </row>
    <row r="107" spans="1:19" ht="37.5" customHeight="1" thickBot="1" x14ac:dyDescent="0.45">
      <c r="A107" s="160"/>
      <c r="B107" s="162"/>
      <c r="C107" s="163"/>
      <c r="D107" s="163"/>
      <c r="E107" s="163"/>
      <c r="F107" s="164"/>
      <c r="G107" s="28"/>
      <c r="H107" s="29"/>
      <c r="I107" s="51"/>
      <c r="J107" s="51"/>
      <c r="K107" s="51"/>
      <c r="L107" s="51"/>
      <c r="M107" s="51"/>
      <c r="N107" s="51"/>
      <c r="O107" s="51"/>
      <c r="P107" s="51"/>
      <c r="Q107" s="124"/>
      <c r="R107" s="124"/>
      <c r="S107" s="51"/>
    </row>
    <row r="108" spans="1:19" ht="37.5" customHeight="1" thickBot="1" x14ac:dyDescent="0.45">
      <c r="A108" s="161"/>
      <c r="B108" s="165"/>
      <c r="C108" s="166"/>
      <c r="D108" s="166"/>
      <c r="E108" s="166"/>
      <c r="F108" s="167"/>
      <c r="G108" s="28"/>
      <c r="H108" s="29"/>
      <c r="I108" s="51"/>
      <c r="J108" s="51"/>
      <c r="K108" s="51"/>
      <c r="L108" s="51"/>
      <c r="M108" s="51"/>
      <c r="N108" s="51"/>
      <c r="O108" s="51"/>
      <c r="P108" s="51"/>
      <c r="Q108" s="124"/>
      <c r="R108" s="124"/>
      <c r="S108" s="51"/>
    </row>
    <row r="109" spans="1:19" ht="48.6" customHeight="1" thickBot="1" x14ac:dyDescent="0.45">
      <c r="A109" s="25"/>
      <c r="B109" s="148" t="s">
        <v>84</v>
      </c>
      <c r="C109" s="149"/>
      <c r="D109" s="149"/>
      <c r="E109" s="149"/>
      <c r="F109" s="150"/>
      <c r="G109" s="28"/>
      <c r="H109" s="85">
        <f>H17+H32+H41+H57+H62+H69+H75+H82+H93+H96+H106+H22+H65</f>
        <v>7258000</v>
      </c>
      <c r="I109" s="85">
        <f>I17+I32+I41+I57+I62+I69+I75+I82+I93+I96+I106+I22+I65</f>
        <v>208304.59999999998</v>
      </c>
      <c r="J109" s="85">
        <f>J17+J32+J41+J57+J62+J69+J75+J82+J93+J96+J106+J22+J65</f>
        <v>210252.47999999998</v>
      </c>
      <c r="K109" s="85">
        <f>K17+K32+K41+K57+K62+K69+K75+K82+K93+K96+K106+K22+K65</f>
        <v>6839442.919999999</v>
      </c>
      <c r="L109" s="85">
        <f>L17+L32+L41+L57+L62+L69+L75+L82+L93+L96+L106+L22+L65</f>
        <v>923385.50799999991</v>
      </c>
      <c r="M109" s="85" t="e">
        <f>M13+M27+M28+M29+M37+M38+M47+M49+M50+M51+M53+M60+M68+M73+M80+#REF!</f>
        <v>#REF!</v>
      </c>
      <c r="N109" s="85">
        <f t="shared" ref="N109:S109" si="53">N17+N32+N41+N57+N62+N69+N75+N82+N93+N96+N106+N22+N65</f>
        <v>12008.2</v>
      </c>
      <c r="O109" s="85">
        <f t="shared" si="53"/>
        <v>1750</v>
      </c>
      <c r="P109" s="85">
        <f t="shared" si="53"/>
        <v>29455.039999999997</v>
      </c>
      <c r="Q109" s="85">
        <f t="shared" si="53"/>
        <v>0</v>
      </c>
      <c r="R109" s="85">
        <f t="shared" si="53"/>
        <v>1385155.828</v>
      </c>
      <c r="S109" s="85">
        <f t="shared" si="53"/>
        <v>5872844.1719999984</v>
      </c>
    </row>
    <row r="110" spans="1:19" ht="37.5" customHeight="1" x14ac:dyDescent="0.35">
      <c r="D110" s="3"/>
      <c r="E110" s="5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58"/>
      <c r="Q110" s="58"/>
      <c r="R110" s="3"/>
      <c r="S110" s="57"/>
    </row>
    <row r="111" spans="1:19" ht="37.5" customHeight="1" x14ac:dyDescent="0.4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58"/>
      <c r="Q111" s="58"/>
      <c r="R111" s="3"/>
      <c r="S111" s="125"/>
    </row>
    <row r="112" spans="1:19" ht="37.5" customHeight="1" x14ac:dyDescent="0.35">
      <c r="D112" s="3"/>
      <c r="E112" s="11"/>
      <c r="F112" s="3"/>
      <c r="G112" s="11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26"/>
    </row>
    <row r="113" spans="4:19" ht="37.5" customHeight="1" x14ac:dyDescent="0.45">
      <c r="D113" s="3"/>
      <c r="F113" s="4" t="s">
        <v>85</v>
      </c>
      <c r="G113" s="3"/>
      <c r="H113" s="9"/>
      <c r="I113" s="140" t="s">
        <v>255</v>
      </c>
      <c r="J113" s="140"/>
      <c r="K113" s="140"/>
      <c r="L113" s="59"/>
      <c r="M113" s="59"/>
      <c r="N113" s="59"/>
      <c r="O113" s="59"/>
      <c r="P113" s="60"/>
      <c r="Q113" s="60"/>
      <c r="R113" s="3"/>
      <c r="S113" s="127"/>
    </row>
    <row r="114" spans="4:19" ht="37.5" customHeight="1" x14ac:dyDescent="0.4">
      <c r="D114" s="3"/>
      <c r="F114" s="4" t="s">
        <v>87</v>
      </c>
      <c r="G114" s="3"/>
      <c r="H114" s="3"/>
      <c r="I114" s="3"/>
      <c r="J114" s="4" t="s">
        <v>88</v>
      </c>
      <c r="K114" s="3"/>
      <c r="L114" s="3"/>
      <c r="M114" s="3"/>
      <c r="N114" s="3"/>
      <c r="O114" s="3"/>
      <c r="P114" s="60"/>
      <c r="Q114" s="60"/>
      <c r="R114" s="3"/>
      <c r="S114" s="128"/>
    </row>
    <row r="115" spans="4:19" ht="37.5" customHeight="1" x14ac:dyDescent="0.3">
      <c r="E115" s="63"/>
      <c r="F115" s="63"/>
      <c r="G115" s="129"/>
      <c r="H115" s="63"/>
      <c r="I115" s="64"/>
      <c r="J115" s="64"/>
      <c r="K115" s="64"/>
      <c r="L115" s="75"/>
      <c r="M115" s="75"/>
      <c r="N115" s="65"/>
      <c r="O115" s="66"/>
      <c r="P115" s="3"/>
      <c r="Q115" s="3"/>
      <c r="R115" s="3"/>
      <c r="S115" s="3"/>
    </row>
    <row r="116" spans="4:19" ht="37.5" customHeight="1" x14ac:dyDescent="0.4">
      <c r="D116" s="67"/>
      <c r="E116" s="68"/>
      <c r="F116" s="68"/>
      <c r="G116" s="130"/>
      <c r="H116" s="69"/>
    </row>
  </sheetData>
  <autoFilter ref="A10:S106" xr:uid="{5C7F64D7-568E-4F7F-82D6-22C834F135E8}"/>
  <mergeCells count="30">
    <mergeCell ref="A107:A108"/>
    <mergeCell ref="B107:F108"/>
    <mergeCell ref="B109:F109"/>
    <mergeCell ref="I113:K113"/>
    <mergeCell ref="B75:F75"/>
    <mergeCell ref="B76:E76"/>
    <mergeCell ref="B82:F82"/>
    <mergeCell ref="B83:E83"/>
    <mergeCell ref="B93:F93"/>
    <mergeCell ref="B94:E94"/>
    <mergeCell ref="B97:E97"/>
    <mergeCell ref="B106:F106"/>
    <mergeCell ref="B70:E70"/>
    <mergeCell ref="B32:F32"/>
    <mergeCell ref="B33:E33"/>
    <mergeCell ref="B41:F41"/>
    <mergeCell ref="B42:E42"/>
    <mergeCell ref="B57:F57"/>
    <mergeCell ref="B58:E58"/>
    <mergeCell ref="B62:F62"/>
    <mergeCell ref="B63:E63"/>
    <mergeCell ref="B65:F65"/>
    <mergeCell ref="B66:E66"/>
    <mergeCell ref="B69:F69"/>
    <mergeCell ref="B23:E23"/>
    <mergeCell ref="I9:J9"/>
    <mergeCell ref="K9:P9"/>
    <mergeCell ref="B17:F17"/>
    <mergeCell ref="B18:E18"/>
    <mergeCell ref="B22:F22"/>
  </mergeCells>
  <phoneticPr fontId="22" type="noConversion"/>
  <pageMargins left="0.25" right="0.25" top="0.75" bottom="0.75" header="0.3" footer="0.3"/>
  <pageSetup paperSize="5" scale="2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9B15-D3DB-458B-BC1B-75A98884BFBE}">
  <sheetPr>
    <pageSetUpPr fitToPage="1"/>
  </sheetPr>
  <dimension ref="A1:Q64"/>
  <sheetViews>
    <sheetView showGridLines="0" topLeftCell="A13" zoomScale="40" zoomScaleNormal="40" zoomScaleSheetLayoutView="30" workbookViewId="0">
      <selection activeCell="L14" sqref="L14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5">
      <c r="C4" s="2"/>
      <c r="D4" s="2"/>
      <c r="E4" s="2"/>
      <c r="F4" s="2"/>
      <c r="G4" s="140" t="s">
        <v>0</v>
      </c>
      <c r="H4" s="140"/>
      <c r="I4" s="140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5">
      <c r="D5" s="5"/>
      <c r="E5" s="5"/>
      <c r="F5" s="5"/>
      <c r="G5" s="140" t="s">
        <v>1</v>
      </c>
      <c r="H5" s="140"/>
      <c r="I5" s="140"/>
      <c r="J5" s="5"/>
      <c r="K5" s="5"/>
      <c r="L5" s="5"/>
      <c r="M5" s="5"/>
      <c r="N5" s="5"/>
      <c r="O5" s="5"/>
      <c r="P5" s="5"/>
      <c r="Q5" s="3"/>
    </row>
    <row r="6" spans="1:17" ht="38.450000000000003" customHeight="1" x14ac:dyDescent="0.45">
      <c r="E6" s="6"/>
      <c r="F6" s="6"/>
      <c r="G6" s="140" t="s">
        <v>266</v>
      </c>
      <c r="H6" s="140"/>
      <c r="I6" s="140"/>
      <c r="J6" s="6"/>
      <c r="K6" s="6"/>
      <c r="L6" s="6"/>
      <c r="M6" s="6"/>
      <c r="N6" s="6"/>
      <c r="O6" s="6"/>
      <c r="P6" s="6"/>
      <c r="Q6" s="3"/>
    </row>
    <row r="7" spans="1:17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17" ht="43.15" customHeight="1" x14ac:dyDescent="0.45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17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17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17" ht="37.5" customHeight="1" thickBot="1" x14ac:dyDescent="0.45">
      <c r="C11" s="11"/>
      <c r="D11" s="12"/>
      <c r="E11" s="12"/>
      <c r="F11" s="12"/>
      <c r="G11" s="13" t="s">
        <v>2</v>
      </c>
      <c r="H11" s="141" t="s">
        <v>3</v>
      </c>
      <c r="I11" s="142"/>
      <c r="J11" s="141" t="s">
        <v>4</v>
      </c>
      <c r="K11" s="143"/>
      <c r="L11" s="143"/>
      <c r="M11" s="143"/>
      <c r="N11" s="143"/>
      <c r="O11" s="142"/>
      <c r="P11" s="12"/>
      <c r="Q11" s="14"/>
    </row>
    <row r="12" spans="1:17" ht="126" customHeight="1" thickBot="1" x14ac:dyDescent="0.3">
      <c r="A12" s="131" t="s">
        <v>5</v>
      </c>
      <c r="B12" s="131" t="s">
        <v>6</v>
      </c>
      <c r="C12" s="131" t="s">
        <v>7</v>
      </c>
      <c r="D12" s="131" t="s">
        <v>8</v>
      </c>
      <c r="E12" s="132" t="s">
        <v>9</v>
      </c>
      <c r="F12" s="132" t="s">
        <v>10</v>
      </c>
      <c r="G12" s="132" t="s">
        <v>11</v>
      </c>
      <c r="H12" s="133" t="s">
        <v>12</v>
      </c>
      <c r="I12" s="132" t="s">
        <v>13</v>
      </c>
      <c r="J12" s="132" t="s">
        <v>14</v>
      </c>
      <c r="K12" s="134" t="s">
        <v>15</v>
      </c>
      <c r="L12" s="135" t="s">
        <v>16</v>
      </c>
      <c r="M12" s="133" t="s">
        <v>17</v>
      </c>
      <c r="N12" s="131" t="s">
        <v>18</v>
      </c>
      <c r="O12" s="136" t="s">
        <v>4</v>
      </c>
      <c r="P12" s="132" t="s">
        <v>19</v>
      </c>
      <c r="Q12" s="137" t="s">
        <v>20</v>
      </c>
    </row>
    <row r="13" spans="1:17" ht="48.6" customHeight="1" thickBot="1" x14ac:dyDescent="0.3">
      <c r="B13" s="144" t="s">
        <v>21</v>
      </c>
      <c r="C13" s="145"/>
      <c r="D13" s="146"/>
      <c r="E13" s="20"/>
      <c r="F13" s="20"/>
      <c r="G13" s="20"/>
      <c r="H13" s="21"/>
      <c r="I13" s="20"/>
      <c r="J13" s="20"/>
      <c r="K13" s="20"/>
      <c r="L13" s="22"/>
      <c r="M13" s="21"/>
      <c r="N13" s="22"/>
      <c r="O13" s="23"/>
      <c r="P13" s="20"/>
      <c r="Q13" s="24"/>
    </row>
    <row r="14" spans="1:17" ht="37.5" customHeight="1" thickBot="1" x14ac:dyDescent="0.5">
      <c r="A14" s="25">
        <v>1</v>
      </c>
      <c r="B14" s="26" t="s">
        <v>22</v>
      </c>
      <c r="C14" s="27" t="s">
        <v>23</v>
      </c>
      <c r="D14" s="28" t="s">
        <v>24</v>
      </c>
      <c r="E14" s="28" t="s">
        <v>25</v>
      </c>
      <c r="F14" s="28" t="s">
        <v>26</v>
      </c>
      <c r="G14" s="29">
        <v>500000</v>
      </c>
      <c r="H14" s="30">
        <f>387050*2.87%</f>
        <v>11108.334999999999</v>
      </c>
      <c r="I14" s="30">
        <f>193525*3.04%</f>
        <v>5883.16</v>
      </c>
      <c r="J14" s="30">
        <f t="shared" ref="J14:J20" si="0">G14-H14-I14</f>
        <v>483008.505</v>
      </c>
      <c r="K14" s="30">
        <v>109334.99</v>
      </c>
      <c r="L14" s="30"/>
      <c r="M14" s="30"/>
      <c r="N14" s="30"/>
      <c r="O14" s="30">
        <v>25</v>
      </c>
      <c r="P14" s="30">
        <f>H14+I14+K14+O14</f>
        <v>126351.485</v>
      </c>
      <c r="Q14" s="30">
        <f>G14-P14</f>
        <v>373648.51500000001</v>
      </c>
    </row>
    <row r="15" spans="1:17" ht="37.5" customHeight="1" thickBot="1" x14ac:dyDescent="0.45">
      <c r="A15" s="25">
        <v>2</v>
      </c>
      <c r="B15" s="26" t="s">
        <v>22</v>
      </c>
      <c r="C15" s="27" t="s">
        <v>23</v>
      </c>
      <c r="D15" s="28" t="s">
        <v>27</v>
      </c>
      <c r="E15" s="28" t="s">
        <v>28</v>
      </c>
      <c r="F15" s="28" t="s">
        <v>26</v>
      </c>
      <c r="G15" s="29">
        <v>250000</v>
      </c>
      <c r="H15" s="30">
        <f t="shared" ref="H15:H20" si="1">+G15*2.87%</f>
        <v>7175</v>
      </c>
      <c r="I15" s="30">
        <f t="shared" ref="I15:I19" si="2">193525*3.04%</f>
        <v>5883.16</v>
      </c>
      <c r="J15" s="30">
        <f t="shared" si="0"/>
        <v>236941.84</v>
      </c>
      <c r="K15" s="30">
        <v>47818.33</v>
      </c>
      <c r="L15" s="30"/>
      <c r="M15" s="30"/>
      <c r="N15" s="30"/>
      <c r="O15" s="30">
        <v>25</v>
      </c>
      <c r="P15" s="30">
        <f t="shared" ref="P15:P18" si="3">H15+I15+K15+O15</f>
        <v>60901.490000000005</v>
      </c>
      <c r="Q15" s="30">
        <f t="shared" ref="Q15:Q20" si="4">G15-P15</f>
        <v>189098.51</v>
      </c>
    </row>
    <row r="16" spans="1:17" ht="55.15" customHeight="1" thickBot="1" x14ac:dyDescent="0.5">
      <c r="A16" s="25">
        <v>3</v>
      </c>
      <c r="B16" s="26">
        <v>44205</v>
      </c>
      <c r="C16" s="27" t="s">
        <v>29</v>
      </c>
      <c r="D16" s="28" t="s">
        <v>30</v>
      </c>
      <c r="E16" s="31" t="s">
        <v>31</v>
      </c>
      <c r="F16" s="28" t="s">
        <v>26</v>
      </c>
      <c r="G16" s="29">
        <v>110000</v>
      </c>
      <c r="H16" s="30">
        <f t="shared" si="1"/>
        <v>3157</v>
      </c>
      <c r="I16" s="30">
        <f>G16*3.04%</f>
        <v>3344</v>
      </c>
      <c r="J16" s="30">
        <f t="shared" si="0"/>
        <v>103499</v>
      </c>
      <c r="K16" s="30">
        <v>14457.62</v>
      </c>
      <c r="L16" s="30"/>
      <c r="M16" s="30"/>
      <c r="N16" s="30">
        <v>12035.77</v>
      </c>
      <c r="O16" s="30">
        <v>25</v>
      </c>
      <c r="P16" s="30">
        <f>H16+I16+K16+O16+N16</f>
        <v>33019.39</v>
      </c>
      <c r="Q16" s="30">
        <f>G16-P16</f>
        <v>76980.61</v>
      </c>
    </row>
    <row r="17" spans="1:17" ht="55.15" customHeight="1" thickBot="1" x14ac:dyDescent="0.5">
      <c r="A17" s="25">
        <v>4</v>
      </c>
      <c r="B17" s="26">
        <v>44205</v>
      </c>
      <c r="C17" s="27" t="s">
        <v>23</v>
      </c>
      <c r="D17" s="28" t="s">
        <v>32</v>
      </c>
      <c r="E17" s="31" t="s">
        <v>33</v>
      </c>
      <c r="F17" s="28" t="s">
        <v>26</v>
      </c>
      <c r="G17" s="29">
        <v>95000</v>
      </c>
      <c r="H17" s="30">
        <f t="shared" si="1"/>
        <v>2726.5</v>
      </c>
      <c r="I17" s="30">
        <f t="shared" ref="I17:I18" si="5">G17*3.04%</f>
        <v>2888</v>
      </c>
      <c r="J17" s="30">
        <f t="shared" si="0"/>
        <v>89385.5</v>
      </c>
      <c r="K17" s="30">
        <v>10929.31</v>
      </c>
      <c r="L17" s="30"/>
      <c r="M17" s="30"/>
      <c r="N17" s="30"/>
      <c r="O17" s="30">
        <v>25</v>
      </c>
      <c r="P17" s="30">
        <f t="shared" si="3"/>
        <v>16568.809999999998</v>
      </c>
      <c r="Q17" s="30">
        <f t="shared" si="4"/>
        <v>78431.19</v>
      </c>
    </row>
    <row r="18" spans="1:17" ht="55.15" customHeight="1" thickBot="1" x14ac:dyDescent="0.5">
      <c r="A18" s="25">
        <v>5</v>
      </c>
      <c r="B18" s="26">
        <v>44566</v>
      </c>
      <c r="C18" s="27" t="s">
        <v>29</v>
      </c>
      <c r="D18" s="28" t="s">
        <v>34</v>
      </c>
      <c r="E18" s="31" t="s">
        <v>35</v>
      </c>
      <c r="F18" s="28" t="s">
        <v>26</v>
      </c>
      <c r="G18" s="29">
        <v>95000</v>
      </c>
      <c r="H18" s="30">
        <f t="shared" si="1"/>
        <v>2726.5</v>
      </c>
      <c r="I18" s="30">
        <f t="shared" si="5"/>
        <v>2888</v>
      </c>
      <c r="J18" s="30">
        <f t="shared" si="0"/>
        <v>89385.5</v>
      </c>
      <c r="K18" s="30">
        <v>10929.31</v>
      </c>
      <c r="L18" s="30"/>
      <c r="M18" s="30"/>
      <c r="N18" s="30"/>
      <c r="O18" s="30">
        <v>25</v>
      </c>
      <c r="P18" s="30">
        <f t="shared" si="3"/>
        <v>16568.809999999998</v>
      </c>
      <c r="Q18" s="30">
        <f t="shared" si="4"/>
        <v>78431.19</v>
      </c>
    </row>
    <row r="19" spans="1:17" ht="66" customHeight="1" thickBot="1" x14ac:dyDescent="0.45">
      <c r="A19" s="25">
        <v>6</v>
      </c>
      <c r="B19" s="32">
        <v>44202</v>
      </c>
      <c r="C19" s="27" t="s">
        <v>23</v>
      </c>
      <c r="D19" s="28" t="s">
        <v>36</v>
      </c>
      <c r="E19" s="31" t="s">
        <v>37</v>
      </c>
      <c r="F19" s="28" t="s">
        <v>26</v>
      </c>
      <c r="G19" s="29">
        <v>200000</v>
      </c>
      <c r="H19" s="30">
        <f t="shared" si="1"/>
        <v>5740</v>
      </c>
      <c r="I19" s="30">
        <f t="shared" si="2"/>
        <v>5883.16</v>
      </c>
      <c r="J19" s="30">
        <f t="shared" si="0"/>
        <v>188376.84</v>
      </c>
      <c r="K19" s="30">
        <v>35248.21</v>
      </c>
      <c r="L19" s="30">
        <v>0</v>
      </c>
      <c r="M19" s="30">
        <v>1715.46</v>
      </c>
      <c r="N19" s="30">
        <v>17747.98</v>
      </c>
      <c r="O19" s="30">
        <v>25</v>
      </c>
      <c r="P19" s="30">
        <f>H19+I19+K19+O19+M19+N19</f>
        <v>66359.81</v>
      </c>
      <c r="Q19" s="30">
        <f t="shared" si="4"/>
        <v>133640.19</v>
      </c>
    </row>
    <row r="20" spans="1:17" ht="66" customHeight="1" thickBot="1" x14ac:dyDescent="0.5">
      <c r="A20" s="25">
        <v>7</v>
      </c>
      <c r="B20" s="32">
        <v>45293</v>
      </c>
      <c r="C20" s="27" t="s">
        <v>29</v>
      </c>
      <c r="D20" s="28" t="s">
        <v>261</v>
      </c>
      <c r="E20" s="31" t="s">
        <v>262</v>
      </c>
      <c r="F20" s="28" t="s">
        <v>26</v>
      </c>
      <c r="G20" s="29">
        <v>125000</v>
      </c>
      <c r="H20" s="30">
        <f t="shared" si="1"/>
        <v>3587.5</v>
      </c>
      <c r="I20" s="30">
        <f>G20*3.04%</f>
        <v>3800</v>
      </c>
      <c r="J20" s="30">
        <f t="shared" si="0"/>
        <v>117612.5</v>
      </c>
      <c r="K20" s="30">
        <v>17985.990000000002</v>
      </c>
      <c r="L20" s="30">
        <v>0</v>
      </c>
      <c r="M20" s="30">
        <v>0</v>
      </c>
      <c r="N20" s="30">
        <v>0</v>
      </c>
      <c r="O20" s="30">
        <v>25</v>
      </c>
      <c r="P20" s="30">
        <f>H20+I20+K20+O20+M20+N20</f>
        <v>25398.49</v>
      </c>
      <c r="Q20" s="30">
        <f t="shared" si="4"/>
        <v>99601.51</v>
      </c>
    </row>
    <row r="21" spans="1:17" ht="49.15" customHeight="1" thickBot="1" x14ac:dyDescent="0.5">
      <c r="A21" s="33"/>
      <c r="B21" s="148" t="s">
        <v>38</v>
      </c>
      <c r="C21" s="149"/>
      <c r="D21" s="149"/>
      <c r="E21" s="150"/>
      <c r="F21" s="36"/>
      <c r="G21" s="37">
        <f>SUM(G14:G20)</f>
        <v>1375000</v>
      </c>
      <c r="H21" s="37">
        <f t="shared" ref="H21:Q21" si="6">SUM(H14:H20)</f>
        <v>36220.834999999999</v>
      </c>
      <c r="I21" s="37">
        <f t="shared" si="6"/>
        <v>30569.48</v>
      </c>
      <c r="J21" s="37">
        <f t="shared" si="6"/>
        <v>1308209.6850000001</v>
      </c>
      <c r="K21" s="37">
        <f t="shared" si="6"/>
        <v>246703.75999999998</v>
      </c>
      <c r="L21" s="37">
        <f t="shared" si="6"/>
        <v>0</v>
      </c>
      <c r="M21" s="37">
        <f t="shared" si="6"/>
        <v>1715.46</v>
      </c>
      <c r="N21" s="37">
        <f t="shared" si="6"/>
        <v>29783.75</v>
      </c>
      <c r="O21" s="37">
        <f t="shared" si="6"/>
        <v>175</v>
      </c>
      <c r="P21" s="37">
        <f t="shared" si="6"/>
        <v>345168.28499999997</v>
      </c>
      <c r="Q21" s="37">
        <f t="shared" si="6"/>
        <v>1029831.7149999999</v>
      </c>
    </row>
    <row r="22" spans="1:17" ht="37.15" customHeight="1" thickBot="1" x14ac:dyDescent="0.5">
      <c r="A22" s="38"/>
      <c r="B22" s="39"/>
      <c r="C22" s="40"/>
      <c r="D22" s="40"/>
      <c r="E22" s="40"/>
      <c r="F22" s="40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3"/>
    </row>
    <row r="23" spans="1:17" ht="48.6" customHeight="1" thickBot="1" x14ac:dyDescent="0.45">
      <c r="A23" s="44"/>
      <c r="B23" s="45"/>
      <c r="C23" s="46" t="s">
        <v>39</v>
      </c>
      <c r="D23" s="47"/>
      <c r="E23" s="47"/>
      <c r="F23" s="47"/>
      <c r="G23" s="48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1:17" ht="37.5" customHeight="1" thickBot="1" x14ac:dyDescent="0.45">
      <c r="A24" s="25">
        <v>8</v>
      </c>
      <c r="B24" s="26" t="s">
        <v>22</v>
      </c>
      <c r="C24" s="27" t="s">
        <v>29</v>
      </c>
      <c r="D24" s="28" t="s">
        <v>40</v>
      </c>
      <c r="E24" s="28" t="s">
        <v>41</v>
      </c>
      <c r="F24" s="28" t="s">
        <v>26</v>
      </c>
      <c r="G24" s="29">
        <v>45000</v>
      </c>
      <c r="H24" s="30">
        <f t="shared" ref="H24:H48" si="7">+G24*2.87%</f>
        <v>1291.5</v>
      </c>
      <c r="I24" s="30">
        <f t="shared" ref="I24:I48" si="8">+G24*3.04%</f>
        <v>1368</v>
      </c>
      <c r="J24" s="30">
        <f t="shared" ref="J24:J48" si="9">G24-H24-I24</f>
        <v>42340.5</v>
      </c>
      <c r="K24" s="30">
        <v>1148.33</v>
      </c>
      <c r="L24" s="30"/>
      <c r="M24" s="30"/>
      <c r="N24" s="30"/>
      <c r="O24" s="30">
        <f>25</f>
        <v>25</v>
      </c>
      <c r="P24" s="30">
        <f t="shared" ref="P24:P48" si="10">H24+I24+K24+O24</f>
        <v>3832.83</v>
      </c>
      <c r="Q24" s="30">
        <f t="shared" ref="Q24:Q48" si="11">G24-P24</f>
        <v>41167.17</v>
      </c>
    </row>
    <row r="25" spans="1:17" ht="37.5" customHeight="1" thickBot="1" x14ac:dyDescent="0.5">
      <c r="A25" s="25">
        <v>9</v>
      </c>
      <c r="B25" s="26" t="s">
        <v>42</v>
      </c>
      <c r="C25" s="27" t="s">
        <v>23</v>
      </c>
      <c r="D25" s="28" t="s">
        <v>43</v>
      </c>
      <c r="E25" s="28" t="s">
        <v>44</v>
      </c>
      <c r="F25" s="28" t="s">
        <v>26</v>
      </c>
      <c r="G25" s="29">
        <v>30000</v>
      </c>
      <c r="H25" s="30">
        <f t="shared" si="7"/>
        <v>861</v>
      </c>
      <c r="I25" s="30">
        <f t="shared" si="8"/>
        <v>912</v>
      </c>
      <c r="J25" s="30">
        <f t="shared" si="9"/>
        <v>28227</v>
      </c>
      <c r="K25" s="30">
        <v>0</v>
      </c>
      <c r="L25" s="30"/>
      <c r="M25" s="30"/>
      <c r="N25" s="30"/>
      <c r="O25" s="30">
        <v>25</v>
      </c>
      <c r="P25" s="30">
        <f t="shared" si="10"/>
        <v>1798</v>
      </c>
      <c r="Q25" s="30">
        <f t="shared" si="11"/>
        <v>28202</v>
      </c>
    </row>
    <row r="26" spans="1:17" ht="37.5" customHeight="1" thickBot="1" x14ac:dyDescent="0.45">
      <c r="A26" s="25">
        <v>10</v>
      </c>
      <c r="B26" s="26" t="s">
        <v>42</v>
      </c>
      <c r="C26" s="27" t="s">
        <v>23</v>
      </c>
      <c r="D26" s="28" t="s">
        <v>45</v>
      </c>
      <c r="E26" s="28" t="s">
        <v>46</v>
      </c>
      <c r="F26" s="28" t="s">
        <v>26</v>
      </c>
      <c r="G26" s="29">
        <v>45000</v>
      </c>
      <c r="H26" s="30">
        <f t="shared" si="7"/>
        <v>1291.5</v>
      </c>
      <c r="I26" s="30">
        <f t="shared" si="8"/>
        <v>1368</v>
      </c>
      <c r="J26" s="30">
        <f t="shared" si="9"/>
        <v>42340.5</v>
      </c>
      <c r="K26" s="30">
        <v>1148.33</v>
      </c>
      <c r="L26" s="30"/>
      <c r="M26" s="30"/>
      <c r="N26" s="30"/>
      <c r="O26" s="30">
        <v>25</v>
      </c>
      <c r="P26" s="30">
        <f t="shared" si="10"/>
        <v>3832.83</v>
      </c>
      <c r="Q26" s="30">
        <f t="shared" si="11"/>
        <v>41167.17</v>
      </c>
    </row>
    <row r="27" spans="1:17" ht="37.5" customHeight="1" thickBot="1" x14ac:dyDescent="0.5">
      <c r="A27" s="25">
        <v>11</v>
      </c>
      <c r="B27" s="26">
        <v>43901</v>
      </c>
      <c r="C27" s="27" t="s">
        <v>29</v>
      </c>
      <c r="D27" s="50" t="s">
        <v>47</v>
      </c>
      <c r="E27" s="28" t="s">
        <v>48</v>
      </c>
      <c r="F27" s="28" t="s">
        <v>26</v>
      </c>
      <c r="G27" s="29">
        <v>45000</v>
      </c>
      <c r="H27" s="30">
        <f t="shared" si="7"/>
        <v>1291.5</v>
      </c>
      <c r="I27" s="29">
        <f t="shared" si="8"/>
        <v>1368</v>
      </c>
      <c r="J27" s="29">
        <f t="shared" si="9"/>
        <v>42340.5</v>
      </c>
      <c r="K27" s="51">
        <v>1148.33</v>
      </c>
      <c r="L27" s="51"/>
      <c r="M27" s="51"/>
      <c r="N27" s="51"/>
      <c r="O27" s="30">
        <f>25</f>
        <v>25</v>
      </c>
      <c r="P27" s="30">
        <f t="shared" si="10"/>
        <v>3832.83</v>
      </c>
      <c r="Q27" s="30">
        <f t="shared" si="11"/>
        <v>41167.17</v>
      </c>
    </row>
    <row r="28" spans="1:17" ht="37.5" customHeight="1" thickBot="1" x14ac:dyDescent="0.5">
      <c r="A28" s="25">
        <v>12</v>
      </c>
      <c r="B28" s="26">
        <v>43901</v>
      </c>
      <c r="C28" s="27" t="s">
        <v>23</v>
      </c>
      <c r="D28" s="50" t="s">
        <v>49</v>
      </c>
      <c r="E28" s="28" t="s">
        <v>50</v>
      </c>
      <c r="F28" s="28" t="s">
        <v>26</v>
      </c>
      <c r="G28" s="29">
        <v>60000</v>
      </c>
      <c r="H28" s="30">
        <f t="shared" si="7"/>
        <v>1722</v>
      </c>
      <c r="I28" s="29">
        <f t="shared" si="8"/>
        <v>1824</v>
      </c>
      <c r="J28" s="29">
        <f t="shared" si="9"/>
        <v>56454</v>
      </c>
      <c r="K28" s="51">
        <v>3486.65</v>
      </c>
      <c r="L28" s="51"/>
      <c r="M28" s="51"/>
      <c r="N28" s="51"/>
      <c r="O28" s="30">
        <f>25</f>
        <v>25</v>
      </c>
      <c r="P28" s="30">
        <f t="shared" si="10"/>
        <v>7057.65</v>
      </c>
      <c r="Q28" s="30">
        <f t="shared" si="11"/>
        <v>52942.35</v>
      </c>
    </row>
    <row r="29" spans="1:17" ht="37.5" customHeight="1" thickBot="1" x14ac:dyDescent="0.45">
      <c r="A29" s="25">
        <v>13</v>
      </c>
      <c r="B29" s="26" t="s">
        <v>51</v>
      </c>
      <c r="C29" s="27" t="s">
        <v>23</v>
      </c>
      <c r="D29" s="50" t="s">
        <v>52</v>
      </c>
      <c r="E29" s="50" t="s">
        <v>53</v>
      </c>
      <c r="F29" s="50" t="s">
        <v>26</v>
      </c>
      <c r="G29" s="29">
        <v>30000</v>
      </c>
      <c r="H29" s="30">
        <f t="shared" si="7"/>
        <v>861</v>
      </c>
      <c r="I29" s="29">
        <f t="shared" si="8"/>
        <v>912</v>
      </c>
      <c r="J29" s="29">
        <f t="shared" si="9"/>
        <v>28227</v>
      </c>
      <c r="K29" s="51">
        <v>0</v>
      </c>
      <c r="L29" s="51"/>
      <c r="M29" s="51"/>
      <c r="N29" s="51"/>
      <c r="O29" s="30">
        <v>25</v>
      </c>
      <c r="P29" s="30">
        <f t="shared" si="10"/>
        <v>1798</v>
      </c>
      <c r="Q29" s="30">
        <f t="shared" si="11"/>
        <v>28202</v>
      </c>
    </row>
    <row r="30" spans="1:17" ht="37.5" customHeight="1" thickBot="1" x14ac:dyDescent="0.5">
      <c r="A30" s="25">
        <v>14</v>
      </c>
      <c r="B30" s="32">
        <v>44204</v>
      </c>
      <c r="C30" s="27" t="s">
        <v>23</v>
      </c>
      <c r="D30" s="50" t="s">
        <v>54</v>
      </c>
      <c r="E30" s="50" t="s">
        <v>53</v>
      </c>
      <c r="F30" s="50" t="s">
        <v>26</v>
      </c>
      <c r="G30" s="29">
        <v>30000</v>
      </c>
      <c r="H30" s="30">
        <f t="shared" si="7"/>
        <v>861</v>
      </c>
      <c r="I30" s="29">
        <f t="shared" si="8"/>
        <v>912</v>
      </c>
      <c r="J30" s="29">
        <f t="shared" si="9"/>
        <v>28227</v>
      </c>
      <c r="K30" s="51">
        <v>0</v>
      </c>
      <c r="L30" s="51"/>
      <c r="M30" s="30"/>
      <c r="N30" s="30"/>
      <c r="O30" s="30">
        <v>25</v>
      </c>
      <c r="P30" s="30">
        <f t="shared" si="10"/>
        <v>1798</v>
      </c>
      <c r="Q30" s="30">
        <f t="shared" si="11"/>
        <v>28202</v>
      </c>
    </row>
    <row r="31" spans="1:17" ht="37.5" customHeight="1" thickBot="1" x14ac:dyDescent="0.5">
      <c r="A31" s="25">
        <v>15</v>
      </c>
      <c r="B31" s="32">
        <v>44205</v>
      </c>
      <c r="C31" s="27" t="s">
        <v>23</v>
      </c>
      <c r="D31" s="50" t="s">
        <v>55</v>
      </c>
      <c r="E31" s="50" t="s">
        <v>56</v>
      </c>
      <c r="F31" s="50" t="s">
        <v>26</v>
      </c>
      <c r="G31" s="29">
        <v>45000</v>
      </c>
      <c r="H31" s="30">
        <f t="shared" si="7"/>
        <v>1291.5</v>
      </c>
      <c r="I31" s="29">
        <f t="shared" si="8"/>
        <v>1368</v>
      </c>
      <c r="J31" s="29">
        <f t="shared" si="9"/>
        <v>42340.5</v>
      </c>
      <c r="K31" s="51">
        <v>1148.83</v>
      </c>
      <c r="L31" s="51"/>
      <c r="M31" s="30"/>
      <c r="N31" s="30"/>
      <c r="O31" s="30">
        <v>25</v>
      </c>
      <c r="P31" s="30">
        <f t="shared" si="10"/>
        <v>3833.33</v>
      </c>
      <c r="Q31" s="30">
        <f t="shared" si="11"/>
        <v>41166.67</v>
      </c>
    </row>
    <row r="32" spans="1:17" ht="37.5" customHeight="1" thickBot="1" x14ac:dyDescent="0.5">
      <c r="A32" s="25">
        <v>16</v>
      </c>
      <c r="B32" s="32">
        <v>44205</v>
      </c>
      <c r="C32" s="27" t="s">
        <v>29</v>
      </c>
      <c r="D32" s="50" t="s">
        <v>57</v>
      </c>
      <c r="E32" s="50" t="s">
        <v>58</v>
      </c>
      <c r="F32" s="50" t="s">
        <v>26</v>
      </c>
      <c r="G32" s="29">
        <v>30000</v>
      </c>
      <c r="H32" s="30">
        <f t="shared" si="7"/>
        <v>861</v>
      </c>
      <c r="I32" s="29">
        <f t="shared" si="8"/>
        <v>912</v>
      </c>
      <c r="J32" s="29">
        <f t="shared" si="9"/>
        <v>28227</v>
      </c>
      <c r="K32" s="51">
        <v>0</v>
      </c>
      <c r="L32" s="51"/>
      <c r="M32" s="30"/>
      <c r="N32" s="30"/>
      <c r="O32" s="30">
        <v>25</v>
      </c>
      <c r="P32" s="30">
        <f t="shared" si="10"/>
        <v>1798</v>
      </c>
      <c r="Q32" s="30">
        <f t="shared" si="11"/>
        <v>28202</v>
      </c>
    </row>
    <row r="33" spans="1:17" ht="37.5" customHeight="1" thickBot="1" x14ac:dyDescent="0.5">
      <c r="A33" s="25">
        <v>17</v>
      </c>
      <c r="B33" s="32" t="s">
        <v>59</v>
      </c>
      <c r="C33" s="27" t="s">
        <v>23</v>
      </c>
      <c r="D33" s="50" t="s">
        <v>60</v>
      </c>
      <c r="E33" s="50" t="s">
        <v>61</v>
      </c>
      <c r="F33" s="50" t="s">
        <v>26</v>
      </c>
      <c r="G33" s="29">
        <v>30000</v>
      </c>
      <c r="H33" s="30">
        <f t="shared" si="7"/>
        <v>861</v>
      </c>
      <c r="I33" s="29">
        <f t="shared" si="8"/>
        <v>912</v>
      </c>
      <c r="J33" s="29">
        <f t="shared" si="9"/>
        <v>28227</v>
      </c>
      <c r="K33" s="51">
        <v>0</v>
      </c>
      <c r="L33" s="51"/>
      <c r="M33" s="30"/>
      <c r="N33" s="30"/>
      <c r="O33" s="30">
        <v>25</v>
      </c>
      <c r="P33" s="30">
        <f t="shared" si="10"/>
        <v>1798</v>
      </c>
      <c r="Q33" s="30">
        <f t="shared" si="11"/>
        <v>28202</v>
      </c>
    </row>
    <row r="34" spans="1:17" ht="37.5" customHeight="1" thickBot="1" x14ac:dyDescent="0.5">
      <c r="A34" s="25">
        <v>18</v>
      </c>
      <c r="B34" s="32">
        <v>44206</v>
      </c>
      <c r="C34" s="27" t="s">
        <v>23</v>
      </c>
      <c r="D34" s="50" t="s">
        <v>62</v>
      </c>
      <c r="E34" s="50" t="s">
        <v>63</v>
      </c>
      <c r="F34" s="50" t="s">
        <v>26</v>
      </c>
      <c r="G34" s="29">
        <v>25000</v>
      </c>
      <c r="H34" s="30">
        <f t="shared" si="7"/>
        <v>717.5</v>
      </c>
      <c r="I34" s="29">
        <f t="shared" si="8"/>
        <v>760</v>
      </c>
      <c r="J34" s="29">
        <f t="shared" si="9"/>
        <v>23522.5</v>
      </c>
      <c r="K34" s="51">
        <v>0</v>
      </c>
      <c r="L34" s="51"/>
      <c r="M34" s="30"/>
      <c r="N34" s="30"/>
      <c r="O34" s="30">
        <v>25</v>
      </c>
      <c r="P34" s="30">
        <f t="shared" si="10"/>
        <v>1502.5</v>
      </c>
      <c r="Q34" s="30">
        <f t="shared" si="11"/>
        <v>23497.5</v>
      </c>
    </row>
    <row r="35" spans="1:17" ht="37.5" customHeight="1" thickBot="1" x14ac:dyDescent="0.5">
      <c r="A35" s="25">
        <v>19</v>
      </c>
      <c r="B35" s="32">
        <v>44206</v>
      </c>
      <c r="C35" s="27" t="s">
        <v>23</v>
      </c>
      <c r="D35" s="50" t="s">
        <v>64</v>
      </c>
      <c r="E35" s="50" t="s">
        <v>63</v>
      </c>
      <c r="F35" s="50" t="s">
        <v>26</v>
      </c>
      <c r="G35" s="29">
        <v>30000</v>
      </c>
      <c r="H35" s="30">
        <f t="shared" si="7"/>
        <v>861</v>
      </c>
      <c r="I35" s="29">
        <f t="shared" si="8"/>
        <v>912</v>
      </c>
      <c r="J35" s="29">
        <f t="shared" si="9"/>
        <v>28227</v>
      </c>
      <c r="K35" s="51">
        <v>0</v>
      </c>
      <c r="L35" s="51"/>
      <c r="M35" s="30"/>
      <c r="N35" s="30"/>
      <c r="O35" s="30">
        <v>25</v>
      </c>
      <c r="P35" s="30">
        <f t="shared" si="10"/>
        <v>1798</v>
      </c>
      <c r="Q35" s="30">
        <f t="shared" si="11"/>
        <v>28202</v>
      </c>
    </row>
    <row r="36" spans="1:17" ht="37.5" customHeight="1" thickBot="1" x14ac:dyDescent="0.5">
      <c r="A36" s="25">
        <v>20</v>
      </c>
      <c r="B36" s="32">
        <v>44206</v>
      </c>
      <c r="C36" s="27" t="s">
        <v>23</v>
      </c>
      <c r="D36" s="50" t="s">
        <v>65</v>
      </c>
      <c r="E36" s="50" t="s">
        <v>66</v>
      </c>
      <c r="F36" s="50" t="s">
        <v>26</v>
      </c>
      <c r="G36" s="29">
        <v>30000</v>
      </c>
      <c r="H36" s="30">
        <f t="shared" si="7"/>
        <v>861</v>
      </c>
      <c r="I36" s="29">
        <f t="shared" si="8"/>
        <v>912</v>
      </c>
      <c r="J36" s="29">
        <f t="shared" si="9"/>
        <v>28227</v>
      </c>
      <c r="K36" s="51">
        <v>0</v>
      </c>
      <c r="L36" s="51"/>
      <c r="M36" s="30"/>
      <c r="N36" s="30"/>
      <c r="O36" s="30">
        <f>25</f>
        <v>25</v>
      </c>
      <c r="P36" s="30">
        <f t="shared" si="10"/>
        <v>1798</v>
      </c>
      <c r="Q36" s="30">
        <f t="shared" si="11"/>
        <v>28202</v>
      </c>
    </row>
    <row r="37" spans="1:17" ht="37.5" customHeight="1" thickBot="1" x14ac:dyDescent="0.5">
      <c r="A37" s="25">
        <v>21</v>
      </c>
      <c r="B37" s="32">
        <v>44206</v>
      </c>
      <c r="C37" s="27" t="s">
        <v>29</v>
      </c>
      <c r="D37" s="50" t="s">
        <v>67</v>
      </c>
      <c r="E37" s="50" t="s">
        <v>58</v>
      </c>
      <c r="F37" s="50" t="s">
        <v>26</v>
      </c>
      <c r="G37" s="29">
        <v>30000</v>
      </c>
      <c r="H37" s="30">
        <f t="shared" si="7"/>
        <v>861</v>
      </c>
      <c r="I37" s="29">
        <f t="shared" si="8"/>
        <v>912</v>
      </c>
      <c r="J37" s="29">
        <f t="shared" si="9"/>
        <v>28227</v>
      </c>
      <c r="K37" s="51">
        <v>0</v>
      </c>
      <c r="L37" s="51"/>
      <c r="M37" s="30"/>
      <c r="N37" s="30"/>
      <c r="O37" s="30">
        <v>25</v>
      </c>
      <c r="P37" s="30">
        <f t="shared" si="10"/>
        <v>1798</v>
      </c>
      <c r="Q37" s="30">
        <f t="shared" si="11"/>
        <v>28202</v>
      </c>
    </row>
    <row r="38" spans="1:17" ht="37.5" customHeight="1" thickBot="1" x14ac:dyDescent="0.45">
      <c r="A38" s="25">
        <v>22</v>
      </c>
      <c r="B38" s="32">
        <v>44206</v>
      </c>
      <c r="C38" s="27" t="s">
        <v>23</v>
      </c>
      <c r="D38" s="50" t="s">
        <v>68</v>
      </c>
      <c r="E38" s="50" t="s">
        <v>69</v>
      </c>
      <c r="F38" s="50" t="s">
        <v>26</v>
      </c>
      <c r="G38" s="29">
        <v>30000</v>
      </c>
      <c r="H38" s="30">
        <f t="shared" si="7"/>
        <v>861</v>
      </c>
      <c r="I38" s="29">
        <f t="shared" si="8"/>
        <v>912</v>
      </c>
      <c r="J38" s="29">
        <f t="shared" si="9"/>
        <v>28227</v>
      </c>
      <c r="K38" s="51">
        <v>0</v>
      </c>
      <c r="L38" s="51"/>
      <c r="M38" s="30"/>
      <c r="N38" s="30"/>
      <c r="O38" s="30">
        <v>25</v>
      </c>
      <c r="P38" s="30">
        <f t="shared" si="10"/>
        <v>1798</v>
      </c>
      <c r="Q38" s="30">
        <f t="shared" si="11"/>
        <v>28202</v>
      </c>
    </row>
    <row r="39" spans="1:17" ht="37.5" customHeight="1" thickBot="1" x14ac:dyDescent="0.45">
      <c r="A39" s="25">
        <v>23</v>
      </c>
      <c r="B39" s="32">
        <v>44206</v>
      </c>
      <c r="C39" s="27" t="s">
        <v>29</v>
      </c>
      <c r="D39" s="50" t="s">
        <v>70</v>
      </c>
      <c r="E39" s="50" t="s">
        <v>58</v>
      </c>
      <c r="F39" s="50" t="s">
        <v>26</v>
      </c>
      <c r="G39" s="29">
        <v>30000</v>
      </c>
      <c r="H39" s="30">
        <f t="shared" si="7"/>
        <v>861</v>
      </c>
      <c r="I39" s="29">
        <f t="shared" si="8"/>
        <v>912</v>
      </c>
      <c r="J39" s="29">
        <f t="shared" si="9"/>
        <v>28227</v>
      </c>
      <c r="K39" s="51">
        <v>0</v>
      </c>
      <c r="L39" s="51"/>
      <c r="M39" s="30"/>
      <c r="N39" s="30"/>
      <c r="O39" s="30">
        <f>25</f>
        <v>25</v>
      </c>
      <c r="P39" s="30">
        <f t="shared" si="10"/>
        <v>1798</v>
      </c>
      <c r="Q39" s="30">
        <f t="shared" si="11"/>
        <v>28202</v>
      </c>
    </row>
    <row r="40" spans="1:17" ht="37.5" customHeight="1" thickBot="1" x14ac:dyDescent="0.5">
      <c r="A40" s="25">
        <v>24</v>
      </c>
      <c r="B40" s="32">
        <v>44206</v>
      </c>
      <c r="C40" s="27" t="s">
        <v>29</v>
      </c>
      <c r="D40" s="50" t="s">
        <v>71</v>
      </c>
      <c r="E40" s="50" t="s">
        <v>58</v>
      </c>
      <c r="F40" s="50" t="s">
        <v>26</v>
      </c>
      <c r="G40" s="29">
        <v>30000</v>
      </c>
      <c r="H40" s="30">
        <f t="shared" si="7"/>
        <v>861</v>
      </c>
      <c r="I40" s="29">
        <f t="shared" si="8"/>
        <v>912</v>
      </c>
      <c r="J40" s="29">
        <f t="shared" si="9"/>
        <v>28227</v>
      </c>
      <c r="K40" s="51">
        <v>0</v>
      </c>
      <c r="L40" s="51"/>
      <c r="M40" s="30"/>
      <c r="N40" s="30"/>
      <c r="O40" s="30">
        <v>25</v>
      </c>
      <c r="P40" s="30">
        <f t="shared" si="10"/>
        <v>1798</v>
      </c>
      <c r="Q40" s="30">
        <f t="shared" si="11"/>
        <v>28202</v>
      </c>
    </row>
    <row r="41" spans="1:17" ht="37.5" customHeight="1" thickBot="1" x14ac:dyDescent="0.5">
      <c r="A41" s="25">
        <v>25</v>
      </c>
      <c r="B41" s="32" t="s">
        <v>72</v>
      </c>
      <c r="C41" s="27" t="s">
        <v>23</v>
      </c>
      <c r="D41" s="50" t="s">
        <v>73</v>
      </c>
      <c r="E41" s="50" t="s">
        <v>61</v>
      </c>
      <c r="F41" s="50" t="s">
        <v>26</v>
      </c>
      <c r="G41" s="29">
        <v>30000</v>
      </c>
      <c r="H41" s="30">
        <f t="shared" si="7"/>
        <v>861</v>
      </c>
      <c r="I41" s="29">
        <f t="shared" si="8"/>
        <v>912</v>
      </c>
      <c r="J41" s="29">
        <f t="shared" si="9"/>
        <v>28227</v>
      </c>
      <c r="K41" s="51">
        <v>0</v>
      </c>
      <c r="L41" s="51"/>
      <c r="M41" s="30"/>
      <c r="N41" s="30"/>
      <c r="O41" s="30">
        <v>25</v>
      </c>
      <c r="P41" s="30">
        <f t="shared" si="10"/>
        <v>1798</v>
      </c>
      <c r="Q41" s="30">
        <f t="shared" si="11"/>
        <v>28202</v>
      </c>
    </row>
    <row r="42" spans="1:17" ht="37.5" customHeight="1" thickBot="1" x14ac:dyDescent="0.5">
      <c r="A42" s="25">
        <v>26</v>
      </c>
      <c r="B42" s="32" t="s">
        <v>72</v>
      </c>
      <c r="C42" s="27" t="s">
        <v>23</v>
      </c>
      <c r="D42" s="50" t="s">
        <v>74</v>
      </c>
      <c r="E42" s="50" t="s">
        <v>61</v>
      </c>
      <c r="F42" s="50" t="s">
        <v>26</v>
      </c>
      <c r="G42" s="29">
        <v>30000</v>
      </c>
      <c r="H42" s="30">
        <f t="shared" si="7"/>
        <v>861</v>
      </c>
      <c r="I42" s="29">
        <f t="shared" si="8"/>
        <v>912</v>
      </c>
      <c r="J42" s="29">
        <f t="shared" si="9"/>
        <v>28227</v>
      </c>
      <c r="K42" s="51">
        <v>0</v>
      </c>
      <c r="L42" s="51"/>
      <c r="M42" s="30"/>
      <c r="N42" s="30"/>
      <c r="O42" s="30">
        <f>25</f>
        <v>25</v>
      </c>
      <c r="P42" s="30">
        <f t="shared" si="10"/>
        <v>1798</v>
      </c>
      <c r="Q42" s="30">
        <f t="shared" si="11"/>
        <v>28202</v>
      </c>
    </row>
    <row r="43" spans="1:17" ht="37.5" customHeight="1" thickBot="1" x14ac:dyDescent="0.5">
      <c r="A43" s="25">
        <v>27</v>
      </c>
      <c r="B43" s="32">
        <v>44872</v>
      </c>
      <c r="C43" s="27" t="s">
        <v>23</v>
      </c>
      <c r="D43" s="50" t="s">
        <v>75</v>
      </c>
      <c r="E43" s="50" t="s">
        <v>58</v>
      </c>
      <c r="F43" s="50" t="s">
        <v>26</v>
      </c>
      <c r="G43" s="29">
        <v>30000</v>
      </c>
      <c r="H43" s="30">
        <f t="shared" si="7"/>
        <v>861</v>
      </c>
      <c r="I43" s="29">
        <f t="shared" si="8"/>
        <v>912</v>
      </c>
      <c r="J43" s="29">
        <f t="shared" si="9"/>
        <v>28227</v>
      </c>
      <c r="K43" s="51">
        <v>0</v>
      </c>
      <c r="L43" s="51"/>
      <c r="M43" s="30"/>
      <c r="N43" s="30"/>
      <c r="O43" s="30">
        <v>25</v>
      </c>
      <c r="P43" s="30">
        <f t="shared" si="10"/>
        <v>1798</v>
      </c>
      <c r="Q43" s="30">
        <f t="shared" si="11"/>
        <v>28202</v>
      </c>
    </row>
    <row r="44" spans="1:17" ht="37.5" customHeight="1" thickBot="1" x14ac:dyDescent="0.5">
      <c r="A44" s="25">
        <v>28</v>
      </c>
      <c r="B44" s="32">
        <v>44565</v>
      </c>
      <c r="C44" s="27" t="s">
        <v>23</v>
      </c>
      <c r="D44" s="50" t="s">
        <v>76</v>
      </c>
      <c r="E44" s="50" t="s">
        <v>61</v>
      </c>
      <c r="F44" s="50" t="s">
        <v>26</v>
      </c>
      <c r="G44" s="29">
        <v>30000</v>
      </c>
      <c r="H44" s="30">
        <f t="shared" si="7"/>
        <v>861</v>
      </c>
      <c r="I44" s="29">
        <f t="shared" si="8"/>
        <v>912</v>
      </c>
      <c r="J44" s="29">
        <f t="shared" si="9"/>
        <v>28227</v>
      </c>
      <c r="K44" s="51">
        <v>0</v>
      </c>
      <c r="L44" s="51"/>
      <c r="M44" s="30"/>
      <c r="N44" s="30"/>
      <c r="O44" s="30">
        <v>25</v>
      </c>
      <c r="P44" s="30">
        <f t="shared" si="10"/>
        <v>1798</v>
      </c>
      <c r="Q44" s="30">
        <f t="shared" si="11"/>
        <v>28202</v>
      </c>
    </row>
    <row r="45" spans="1:17" ht="37.5" customHeight="1" thickBot="1" x14ac:dyDescent="0.5">
      <c r="A45" s="25">
        <v>29</v>
      </c>
      <c r="B45" s="32">
        <v>44931</v>
      </c>
      <c r="C45" s="27" t="s">
        <v>23</v>
      </c>
      <c r="D45" s="50" t="s">
        <v>77</v>
      </c>
      <c r="E45" s="50" t="s">
        <v>61</v>
      </c>
      <c r="F45" s="50" t="s">
        <v>26</v>
      </c>
      <c r="G45" s="29">
        <v>30000</v>
      </c>
      <c r="H45" s="30">
        <f t="shared" si="7"/>
        <v>861</v>
      </c>
      <c r="I45" s="29">
        <f t="shared" si="8"/>
        <v>912</v>
      </c>
      <c r="J45" s="29">
        <f t="shared" si="9"/>
        <v>28227</v>
      </c>
      <c r="K45" s="51">
        <v>0</v>
      </c>
      <c r="L45" s="51"/>
      <c r="M45" s="30"/>
      <c r="N45" s="30"/>
      <c r="O45" s="30">
        <v>25</v>
      </c>
      <c r="P45" s="30">
        <f t="shared" si="10"/>
        <v>1798</v>
      </c>
      <c r="Q45" s="30">
        <f t="shared" si="11"/>
        <v>28202</v>
      </c>
    </row>
    <row r="46" spans="1:17" ht="37.5" customHeight="1" thickBot="1" x14ac:dyDescent="0.5">
      <c r="A46" s="25">
        <v>30</v>
      </c>
      <c r="B46" s="32">
        <v>44931</v>
      </c>
      <c r="C46" s="27" t="s">
        <v>29</v>
      </c>
      <c r="D46" s="50" t="s">
        <v>78</v>
      </c>
      <c r="E46" s="50" t="s">
        <v>58</v>
      </c>
      <c r="F46" s="50" t="s">
        <v>26</v>
      </c>
      <c r="G46" s="29">
        <v>30000</v>
      </c>
      <c r="H46" s="30">
        <f t="shared" si="7"/>
        <v>861</v>
      </c>
      <c r="I46" s="29">
        <f t="shared" si="8"/>
        <v>912</v>
      </c>
      <c r="J46" s="29">
        <f t="shared" si="9"/>
        <v>28227</v>
      </c>
      <c r="K46" s="51">
        <v>0</v>
      </c>
      <c r="L46" s="51"/>
      <c r="M46" s="30"/>
      <c r="N46" s="30"/>
      <c r="O46" s="30">
        <f>25</f>
        <v>25</v>
      </c>
      <c r="P46" s="30">
        <f t="shared" si="10"/>
        <v>1798</v>
      </c>
      <c r="Q46" s="30">
        <f t="shared" si="11"/>
        <v>28202</v>
      </c>
    </row>
    <row r="47" spans="1:17" ht="37.5" customHeight="1" thickBot="1" x14ac:dyDescent="0.5">
      <c r="A47" s="25">
        <v>31</v>
      </c>
      <c r="B47" s="32">
        <v>44937</v>
      </c>
      <c r="C47" s="27" t="s">
        <v>29</v>
      </c>
      <c r="D47" s="50" t="s">
        <v>79</v>
      </c>
      <c r="E47" s="50" t="s">
        <v>80</v>
      </c>
      <c r="F47" s="50" t="s">
        <v>26</v>
      </c>
      <c r="G47" s="29">
        <v>45000</v>
      </c>
      <c r="H47" s="30">
        <f t="shared" si="7"/>
        <v>1291.5</v>
      </c>
      <c r="I47" s="29">
        <f t="shared" si="8"/>
        <v>1368</v>
      </c>
      <c r="J47" s="29">
        <f t="shared" si="9"/>
        <v>42340.5</v>
      </c>
      <c r="K47" s="51">
        <v>1148.33</v>
      </c>
      <c r="L47" s="51"/>
      <c r="M47" s="30"/>
      <c r="N47" s="30"/>
      <c r="O47" s="30">
        <v>25</v>
      </c>
      <c r="P47" s="30">
        <f t="shared" si="10"/>
        <v>3832.83</v>
      </c>
      <c r="Q47" s="30">
        <f t="shared" si="11"/>
        <v>41167.17</v>
      </c>
    </row>
    <row r="48" spans="1:17" ht="37.5" customHeight="1" thickBot="1" x14ac:dyDescent="0.45">
      <c r="A48" s="25">
        <v>32</v>
      </c>
      <c r="B48" s="32">
        <v>44938</v>
      </c>
      <c r="C48" s="27" t="s">
        <v>23</v>
      </c>
      <c r="D48" s="50" t="s">
        <v>81</v>
      </c>
      <c r="E48" s="50" t="s">
        <v>82</v>
      </c>
      <c r="F48" s="50" t="s">
        <v>26</v>
      </c>
      <c r="G48" s="29">
        <v>45000</v>
      </c>
      <c r="H48" s="30">
        <f t="shared" si="7"/>
        <v>1291.5</v>
      </c>
      <c r="I48" s="29">
        <f t="shared" si="8"/>
        <v>1368</v>
      </c>
      <c r="J48" s="29">
        <f t="shared" si="9"/>
        <v>42340.5</v>
      </c>
      <c r="K48" s="51">
        <v>1148.33</v>
      </c>
      <c r="L48" s="51"/>
      <c r="M48" s="30"/>
      <c r="N48" s="30"/>
      <c r="O48" s="30">
        <v>25</v>
      </c>
      <c r="P48" s="30">
        <f t="shared" si="10"/>
        <v>3832.83</v>
      </c>
      <c r="Q48" s="30">
        <f t="shared" si="11"/>
        <v>41167.17</v>
      </c>
    </row>
    <row r="49" spans="1:17" ht="49.15" customHeight="1" thickBot="1" x14ac:dyDescent="0.45">
      <c r="A49" s="52"/>
      <c r="B49" s="148" t="s">
        <v>38</v>
      </c>
      <c r="C49" s="149" t="s">
        <v>83</v>
      </c>
      <c r="D49" s="149"/>
      <c r="E49" s="150"/>
      <c r="F49" s="53"/>
      <c r="G49" s="54">
        <f t="shared" ref="G49:Q49" si="12">SUM(G24:G48)</f>
        <v>865000</v>
      </c>
      <c r="H49" s="54">
        <f t="shared" si="12"/>
        <v>24825.5</v>
      </c>
      <c r="I49" s="54">
        <f t="shared" si="12"/>
        <v>26296</v>
      </c>
      <c r="J49" s="54">
        <f t="shared" si="12"/>
        <v>813878.5</v>
      </c>
      <c r="K49" s="54">
        <f t="shared" si="12"/>
        <v>10377.129999999999</v>
      </c>
      <c r="L49" s="54">
        <f t="shared" si="12"/>
        <v>0</v>
      </c>
      <c r="M49" s="54">
        <f t="shared" si="12"/>
        <v>0</v>
      </c>
      <c r="N49" s="54">
        <f t="shared" si="12"/>
        <v>0</v>
      </c>
      <c r="O49" s="54">
        <f t="shared" si="12"/>
        <v>625</v>
      </c>
      <c r="P49" s="54">
        <f t="shared" si="12"/>
        <v>62123.630000000005</v>
      </c>
      <c r="Q49" s="54">
        <f t="shared" si="12"/>
        <v>802876.37000000011</v>
      </c>
    </row>
    <row r="50" spans="1:17" ht="37.5" customHeight="1" x14ac:dyDescent="0.25">
      <c r="A50" s="151"/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1"/>
    </row>
    <row r="51" spans="1:17" ht="37.5" customHeight="1" thickBot="1" x14ac:dyDescent="0.3">
      <c r="A51" s="152"/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2"/>
    </row>
    <row r="52" spans="1:17" ht="49.9" customHeight="1" thickBot="1" x14ac:dyDescent="0.45">
      <c r="A52" s="52"/>
      <c r="B52" s="148" t="s">
        <v>84</v>
      </c>
      <c r="C52" s="149"/>
      <c r="D52" s="149"/>
      <c r="E52" s="150"/>
      <c r="F52" s="55"/>
      <c r="G52" s="54">
        <f>G49+G21</f>
        <v>2240000</v>
      </c>
      <c r="H52" s="54">
        <f>H49+H21</f>
        <v>61046.334999999999</v>
      </c>
      <c r="I52" s="54">
        <f>I49+I21</f>
        <v>56865.479999999996</v>
      </c>
      <c r="J52" s="54">
        <f>J49+J21</f>
        <v>2122088.1850000001</v>
      </c>
      <c r="K52" s="54">
        <f>K49+K21</f>
        <v>257080.88999999998</v>
      </c>
      <c r="L52" s="54"/>
      <c r="M52" s="54">
        <f>M49+M21</f>
        <v>1715.46</v>
      </c>
      <c r="N52" s="54">
        <f>N49+N21</f>
        <v>29783.75</v>
      </c>
      <c r="O52" s="54">
        <f>O49+O21</f>
        <v>800</v>
      </c>
      <c r="P52" s="54">
        <f>P49+P21</f>
        <v>407291.91499999998</v>
      </c>
      <c r="Q52" s="56">
        <f>Q49+Q21</f>
        <v>1832708.085</v>
      </c>
    </row>
    <row r="53" spans="1:17" ht="37.5" customHeight="1" x14ac:dyDescent="0.35">
      <c r="C53" s="3"/>
      <c r="D53" s="57"/>
      <c r="E53" s="3"/>
      <c r="F53" s="3"/>
      <c r="G53" s="3"/>
      <c r="H53" s="3"/>
      <c r="I53" s="3"/>
      <c r="J53" s="3"/>
      <c r="K53" s="3"/>
      <c r="L53" s="3"/>
      <c r="M53" s="3"/>
      <c r="N53" s="3"/>
      <c r="O53" s="58"/>
      <c r="P53" s="3"/>
      <c r="Q53" s="138"/>
    </row>
    <row r="54" spans="1:17" ht="37.5" customHeight="1" x14ac:dyDescent="0.35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37.5" customHeight="1" x14ac:dyDescent="0.45">
      <c r="C55" s="3"/>
      <c r="D55" s="3"/>
      <c r="E55" s="3"/>
      <c r="F55" s="3"/>
      <c r="G55" s="9"/>
      <c r="H55" s="10"/>
      <c r="I55" s="3"/>
      <c r="J55" s="3"/>
      <c r="K55" s="59"/>
      <c r="L55" s="59"/>
      <c r="M55" s="59"/>
      <c r="N55" s="59"/>
      <c r="O55" s="60"/>
      <c r="P55" s="3"/>
      <c r="Q55" s="61"/>
    </row>
    <row r="56" spans="1:17" ht="48" customHeight="1" x14ac:dyDescent="0.3">
      <c r="C56" s="3"/>
      <c r="D56" s="3"/>
      <c r="E56" s="62" t="s">
        <v>85</v>
      </c>
      <c r="H56" s="3"/>
      <c r="I56" s="147" t="s">
        <v>86</v>
      </c>
      <c r="J56" s="147"/>
      <c r="K56" s="147"/>
      <c r="L56" s="62"/>
      <c r="M56" s="3"/>
      <c r="N56" s="3"/>
      <c r="O56" s="3"/>
      <c r="P56" s="60"/>
      <c r="Q56" s="3"/>
    </row>
    <row r="57" spans="1:17" ht="50.45" customHeight="1" x14ac:dyDescent="0.3">
      <c r="D57" s="63"/>
      <c r="E57" s="62" t="s">
        <v>87</v>
      </c>
      <c r="H57" s="64"/>
      <c r="I57" s="147" t="s">
        <v>88</v>
      </c>
      <c r="J57" s="147"/>
      <c r="K57" s="147"/>
      <c r="L57" s="62"/>
      <c r="M57" s="65"/>
      <c r="N57" s="66"/>
      <c r="O57" s="3"/>
      <c r="P57" s="3"/>
      <c r="Q57" s="3"/>
    </row>
    <row r="58" spans="1:17" ht="37.5" customHeight="1" x14ac:dyDescent="0.4">
      <c r="C58" s="67"/>
      <c r="D58" s="68"/>
      <c r="E58" s="68"/>
      <c r="F58" s="68"/>
      <c r="G58" s="69"/>
    </row>
    <row r="59" spans="1:17" ht="37.5" customHeight="1" x14ac:dyDescent="0.4">
      <c r="C59" s="67"/>
      <c r="D59" s="68"/>
      <c r="E59" s="70"/>
      <c r="F59" s="70"/>
      <c r="G59" s="71"/>
    </row>
    <row r="60" spans="1:17" ht="37.5" customHeight="1" x14ac:dyDescent="0.4">
      <c r="C60" s="67"/>
      <c r="D60" s="72"/>
      <c r="E60" s="67"/>
      <c r="F60" s="67"/>
      <c r="G60" s="69"/>
    </row>
    <row r="61" spans="1:17" ht="37.5" customHeight="1" x14ac:dyDescent="0.4">
      <c r="C61" s="67"/>
      <c r="D61" s="63"/>
      <c r="E61" s="63"/>
      <c r="F61" s="63"/>
      <c r="G61" s="63"/>
      <c r="H61" s="63"/>
      <c r="I61" s="63"/>
      <c r="J61" s="63"/>
      <c r="K61" s="63"/>
      <c r="L61" s="63"/>
      <c r="M61" s="73"/>
      <c r="N61" s="65"/>
    </row>
    <row r="62" spans="1:17" ht="37.5" customHeight="1" x14ac:dyDescent="0.4">
      <c r="C62" s="67"/>
      <c r="D62" s="68"/>
      <c r="E62" s="68"/>
      <c r="F62" s="68"/>
      <c r="G62" s="74"/>
      <c r="H62" s="63"/>
      <c r="I62" s="63"/>
      <c r="J62" s="63"/>
      <c r="K62" s="63"/>
      <c r="L62" s="63"/>
      <c r="M62" s="73"/>
      <c r="N62" s="65"/>
    </row>
    <row r="63" spans="1:17" ht="37.5" customHeight="1" x14ac:dyDescent="0.4">
      <c r="C63" s="67"/>
      <c r="D63" s="68"/>
      <c r="E63" s="68"/>
      <c r="F63" s="68"/>
      <c r="G63" s="74"/>
      <c r="H63" s="63"/>
      <c r="I63" s="63"/>
      <c r="J63" s="63"/>
      <c r="K63" s="63"/>
      <c r="L63" s="63"/>
      <c r="M63" s="73"/>
      <c r="N63" s="65"/>
    </row>
    <row r="64" spans="1:17" ht="37.5" customHeight="1" x14ac:dyDescent="0.4">
      <c r="C64" s="67"/>
      <c r="D64" s="68"/>
      <c r="E64" s="68"/>
      <c r="F64" s="68"/>
      <c r="G64" s="63"/>
    </row>
  </sheetData>
  <protectedRanges>
    <protectedRange sqref="C14" name="Data_7_1_1"/>
  </protectedRanges>
  <autoFilter ref="A12:Q12" xr:uid="{9F39948D-E9A9-49CF-B972-9BAF74CA9669}"/>
  <mergeCells count="13">
    <mergeCell ref="B13:D13"/>
    <mergeCell ref="I57:K57"/>
    <mergeCell ref="B21:E21"/>
    <mergeCell ref="B49:E49"/>
    <mergeCell ref="A50:A51"/>
    <mergeCell ref="B50:Q51"/>
    <mergeCell ref="B52:E52"/>
    <mergeCell ref="I56:K56"/>
    <mergeCell ref="G4:I4"/>
    <mergeCell ref="G5:I5"/>
    <mergeCell ref="G6:I6"/>
    <mergeCell ref="H11:I11"/>
    <mergeCell ref="J11:O11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A89D-D828-47D4-B1B0-3D34FA6BC780}">
  <dimension ref="A1:S119"/>
  <sheetViews>
    <sheetView showGridLines="0" topLeftCell="A90" zoomScale="39" zoomScaleNormal="39" zoomScaleSheetLayoutView="49" workbookViewId="0">
      <pane xSplit="6" topLeftCell="G1" activePane="topRight" state="frozen"/>
      <selection pane="topRight" activeCell="E13" sqref="E13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5">
      <c r="D3" s="2"/>
      <c r="E3" s="2"/>
      <c r="F3" s="2"/>
      <c r="G3" s="2"/>
      <c r="H3" s="3"/>
      <c r="I3" s="4"/>
      <c r="J3" s="3"/>
      <c r="K3" s="2"/>
      <c r="L3" s="2"/>
      <c r="M3" s="2"/>
      <c r="N3" s="2"/>
      <c r="O3" s="2"/>
      <c r="P3" s="2"/>
      <c r="Q3" s="2"/>
      <c r="R3" s="2"/>
      <c r="S3" s="3"/>
    </row>
    <row r="4" spans="1:19" ht="34.9" customHeight="1" x14ac:dyDescent="0.4">
      <c r="D4" s="2"/>
      <c r="E4" s="2"/>
      <c r="F4" s="4" t="s">
        <v>89</v>
      </c>
      <c r="G4" s="2"/>
      <c r="H4" s="3"/>
      <c r="I4" s="4"/>
      <c r="J4" s="3"/>
      <c r="K4" s="2"/>
      <c r="L4" s="2"/>
      <c r="M4" s="2"/>
      <c r="N4" s="2"/>
      <c r="O4" s="2"/>
      <c r="P4" s="2"/>
      <c r="Q4" s="2"/>
      <c r="R4" s="2"/>
      <c r="S4" s="3"/>
    </row>
    <row r="5" spans="1:19" ht="37.5" customHeight="1" x14ac:dyDescent="0.45">
      <c r="D5" s="5"/>
      <c r="E5" s="5"/>
      <c r="F5" s="76" t="s">
        <v>90</v>
      </c>
      <c r="G5" s="5"/>
      <c r="H5" s="3"/>
      <c r="I5" s="7"/>
      <c r="J5" s="3"/>
      <c r="K5" s="5"/>
      <c r="L5" s="5"/>
      <c r="M5" s="5"/>
      <c r="N5" s="5"/>
      <c r="O5" s="5"/>
      <c r="P5" s="5"/>
      <c r="Q5" s="5"/>
      <c r="R5" s="5"/>
      <c r="S5" s="3"/>
    </row>
    <row r="6" spans="1:19" ht="37.5" customHeight="1" x14ac:dyDescent="0.45">
      <c r="D6" s="6"/>
      <c r="E6" s="6"/>
      <c r="F6" s="7" t="s">
        <v>265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3"/>
    </row>
    <row r="7" spans="1:19" ht="37.5" customHeight="1" x14ac:dyDescent="0.45">
      <c r="D7" s="7"/>
      <c r="E7" s="7"/>
      <c r="F7" s="7"/>
      <c r="G7" s="7"/>
      <c r="I7" s="7"/>
      <c r="L7" s="7"/>
      <c r="M7" s="7"/>
      <c r="N7" s="7"/>
      <c r="O7" s="8"/>
      <c r="P7" s="8"/>
      <c r="Q7" s="8"/>
      <c r="R7" s="7"/>
      <c r="S7" s="3"/>
    </row>
    <row r="8" spans="1:19" ht="37.5" customHeight="1" thickBot="1" x14ac:dyDescent="0.5">
      <c r="D8" s="3"/>
      <c r="E8" s="3"/>
      <c r="F8" s="3"/>
      <c r="G8" s="3"/>
      <c r="H8" s="77"/>
      <c r="I8" s="3"/>
      <c r="J8" s="3"/>
      <c r="K8" s="3"/>
      <c r="L8" s="9"/>
      <c r="M8" s="9"/>
      <c r="N8" s="9"/>
      <c r="O8" s="10"/>
      <c r="P8" s="8"/>
      <c r="Q8" s="8"/>
      <c r="R8" s="3"/>
      <c r="S8" s="3"/>
    </row>
    <row r="9" spans="1:19" ht="37.5" customHeight="1" thickBot="1" x14ac:dyDescent="0.45">
      <c r="D9" s="11"/>
      <c r="E9" s="12"/>
      <c r="F9" s="12"/>
      <c r="G9" s="12"/>
      <c r="H9" s="13" t="s">
        <v>2</v>
      </c>
      <c r="I9" s="141" t="s">
        <v>91</v>
      </c>
      <c r="J9" s="142"/>
      <c r="K9" s="143" t="s">
        <v>4</v>
      </c>
      <c r="L9" s="143"/>
      <c r="M9" s="143"/>
      <c r="N9" s="143"/>
      <c r="O9" s="143"/>
      <c r="P9" s="142"/>
      <c r="Q9" s="78"/>
      <c r="S9" s="14"/>
    </row>
    <row r="10" spans="1:19" ht="126.6" customHeight="1" thickBot="1" x14ac:dyDescent="0.3">
      <c r="A10" s="15" t="s">
        <v>5</v>
      </c>
      <c r="B10" s="15" t="s">
        <v>6</v>
      </c>
      <c r="C10" s="15" t="s">
        <v>92</v>
      </c>
      <c r="D10" s="15" t="s">
        <v>7</v>
      </c>
      <c r="E10" s="15" t="s">
        <v>8</v>
      </c>
      <c r="F10" s="16" t="s">
        <v>93</v>
      </c>
      <c r="G10" s="16" t="s">
        <v>10</v>
      </c>
      <c r="H10" s="16" t="s">
        <v>11</v>
      </c>
      <c r="I10" s="17" t="s">
        <v>94</v>
      </c>
      <c r="J10" s="16" t="s">
        <v>95</v>
      </c>
      <c r="K10" s="16" t="s">
        <v>14</v>
      </c>
      <c r="L10" s="16" t="s">
        <v>96</v>
      </c>
      <c r="M10" s="18" t="s">
        <v>16</v>
      </c>
      <c r="N10" s="15" t="s">
        <v>97</v>
      </c>
      <c r="O10" s="17" t="s">
        <v>98</v>
      </c>
      <c r="P10" s="19" t="s">
        <v>99</v>
      </c>
      <c r="Q10" s="19" t="s">
        <v>100</v>
      </c>
      <c r="R10" s="16" t="s">
        <v>19</v>
      </c>
      <c r="S10" s="17" t="s">
        <v>20</v>
      </c>
    </row>
    <row r="11" spans="1:19" ht="48.6" customHeight="1" thickBot="1" x14ac:dyDescent="0.45">
      <c r="A11" s="25"/>
      <c r="B11" s="79" t="s">
        <v>101</v>
      </c>
      <c r="C11" s="80"/>
      <c r="D11" s="80"/>
      <c r="E11" s="80"/>
      <c r="F11" s="81"/>
      <c r="G11" s="28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37.15" customHeight="1" thickBot="1" x14ac:dyDescent="0.45">
      <c r="A12" s="25">
        <v>1</v>
      </c>
      <c r="B12" s="26" t="s">
        <v>102</v>
      </c>
      <c r="C12" s="26">
        <v>45293</v>
      </c>
      <c r="D12" s="27" t="s">
        <v>29</v>
      </c>
      <c r="E12" s="28" t="s">
        <v>103</v>
      </c>
      <c r="F12" s="28" t="s">
        <v>104</v>
      </c>
      <c r="G12" s="27" t="s">
        <v>105</v>
      </c>
      <c r="H12" s="29">
        <v>225000</v>
      </c>
      <c r="I12" s="30">
        <f t="shared" ref="I12:I16" si="0">+H12*2.87%</f>
        <v>6457.5</v>
      </c>
      <c r="J12" s="30">
        <f>193525*3.04%</f>
        <v>5883.16</v>
      </c>
      <c r="K12" s="30">
        <f>H12-I12-J12</f>
        <v>212659.34</v>
      </c>
      <c r="L12" s="51">
        <v>41797.19</v>
      </c>
      <c r="M12" s="51"/>
      <c r="N12" s="30"/>
      <c r="O12" s="30">
        <v>25</v>
      </c>
      <c r="P12" s="30"/>
      <c r="Q12" s="30"/>
      <c r="R12" s="30">
        <f>I12+J12+L12+N12+O12+P12</f>
        <v>54162.850000000006</v>
      </c>
      <c r="S12" s="51">
        <f>H12-R12</f>
        <v>170837.15</v>
      </c>
    </row>
    <row r="13" spans="1:19" ht="62.45" customHeight="1" thickBot="1" x14ac:dyDescent="0.45">
      <c r="A13" s="25">
        <v>2</v>
      </c>
      <c r="B13" s="26">
        <v>44199</v>
      </c>
      <c r="C13" s="26">
        <v>45293</v>
      </c>
      <c r="D13" s="27" t="s">
        <v>29</v>
      </c>
      <c r="E13" s="28" t="s">
        <v>106</v>
      </c>
      <c r="F13" s="31" t="s">
        <v>107</v>
      </c>
      <c r="G13" s="27" t="s">
        <v>105</v>
      </c>
      <c r="H13" s="29">
        <v>77000</v>
      </c>
      <c r="I13" s="30">
        <f t="shared" si="0"/>
        <v>2209.9</v>
      </c>
      <c r="J13" s="30">
        <f>H13*3.04%</f>
        <v>2340.8000000000002</v>
      </c>
      <c r="K13" s="30">
        <f>H13-I13-J13</f>
        <v>72449.3</v>
      </c>
      <c r="L13" s="51">
        <f>6695.19-M13</f>
        <v>6695.19</v>
      </c>
      <c r="M13" s="51">
        <v>0</v>
      </c>
      <c r="N13" s="30"/>
      <c r="O13" s="30">
        <f>25</f>
        <v>25</v>
      </c>
      <c r="P13" s="30"/>
      <c r="Q13" s="30"/>
      <c r="R13" s="30">
        <f>I13+J13+L13+N13+O13+P13</f>
        <v>11270.89</v>
      </c>
      <c r="S13" s="51">
        <f t="shared" ref="S13:S16" si="1">H13-R13</f>
        <v>65729.11</v>
      </c>
    </row>
    <row r="14" spans="1:19" ht="38.450000000000003" customHeight="1" thickBot="1" x14ac:dyDescent="0.45">
      <c r="A14" s="25">
        <v>3</v>
      </c>
      <c r="B14" s="26">
        <v>44564</v>
      </c>
      <c r="C14" s="26">
        <v>45293</v>
      </c>
      <c r="D14" s="27" t="s">
        <v>29</v>
      </c>
      <c r="E14" s="28" t="s">
        <v>108</v>
      </c>
      <c r="F14" s="31" t="s">
        <v>109</v>
      </c>
      <c r="G14" s="27" t="s">
        <v>105</v>
      </c>
      <c r="H14" s="29">
        <v>115000</v>
      </c>
      <c r="I14" s="30">
        <f t="shared" si="0"/>
        <v>3300.5</v>
      </c>
      <c r="J14" s="30">
        <f>H14*3.04%</f>
        <v>3496</v>
      </c>
      <c r="K14" s="30">
        <f t="shared" ref="K14:K16" si="2">H14-I14-J14</f>
        <v>108203.5</v>
      </c>
      <c r="L14" s="51">
        <v>15633.74</v>
      </c>
      <c r="M14" s="51"/>
      <c r="N14" s="30"/>
      <c r="O14" s="30">
        <v>25</v>
      </c>
      <c r="P14" s="30"/>
      <c r="Q14" s="30">
        <v>15633.74</v>
      </c>
      <c r="R14" s="82">
        <f>I14+J14+N14+O14+P14+L14-Q14</f>
        <v>6821.4999999999982</v>
      </c>
      <c r="S14" s="51">
        <f>H14-R14</f>
        <v>108178.5</v>
      </c>
    </row>
    <row r="15" spans="1:19" ht="38.450000000000003" customHeight="1" thickBot="1" x14ac:dyDescent="0.45">
      <c r="A15" s="25">
        <v>4</v>
      </c>
      <c r="B15" s="26" t="s">
        <v>110</v>
      </c>
      <c r="C15" s="26">
        <v>45295</v>
      </c>
      <c r="D15" s="27" t="s">
        <v>29</v>
      </c>
      <c r="E15" s="28" t="s">
        <v>111</v>
      </c>
      <c r="F15" s="31" t="s">
        <v>112</v>
      </c>
      <c r="G15" s="27" t="s">
        <v>105</v>
      </c>
      <c r="H15" s="29">
        <v>80000</v>
      </c>
      <c r="I15" s="30">
        <f t="shared" si="0"/>
        <v>2296</v>
      </c>
      <c r="J15" s="30">
        <f>H15*3.04%</f>
        <v>2432</v>
      </c>
      <c r="K15" s="30">
        <f t="shared" si="2"/>
        <v>75272</v>
      </c>
      <c r="L15" s="51">
        <v>8576.99</v>
      </c>
      <c r="M15" s="51"/>
      <c r="N15" s="30"/>
      <c r="O15" s="30">
        <v>25</v>
      </c>
      <c r="P15" s="30"/>
      <c r="Q15" s="30"/>
      <c r="R15" s="30">
        <f>I15+J15+L15+N15+O15+P15</f>
        <v>13329.99</v>
      </c>
      <c r="S15" s="51">
        <f t="shared" si="1"/>
        <v>66670.009999999995</v>
      </c>
    </row>
    <row r="16" spans="1:19" ht="75.75" customHeight="1" thickBot="1" x14ac:dyDescent="0.45">
      <c r="A16" s="25">
        <v>5</v>
      </c>
      <c r="B16" s="32">
        <v>44929</v>
      </c>
      <c r="C16" s="26">
        <v>45293</v>
      </c>
      <c r="D16" s="27" t="s">
        <v>23</v>
      </c>
      <c r="E16" s="28" t="s">
        <v>113</v>
      </c>
      <c r="F16" s="83" t="s">
        <v>114</v>
      </c>
      <c r="G16" s="27" t="s">
        <v>105</v>
      </c>
      <c r="H16" s="29">
        <v>115000</v>
      </c>
      <c r="I16" s="30">
        <f t="shared" si="0"/>
        <v>3300.5</v>
      </c>
      <c r="J16" s="30">
        <f>H16*3.04%</f>
        <v>3496</v>
      </c>
      <c r="K16" s="30">
        <f t="shared" si="2"/>
        <v>108203.5</v>
      </c>
      <c r="L16" s="51">
        <v>15204.88</v>
      </c>
      <c r="M16" s="51"/>
      <c r="N16" s="30">
        <v>1715.46</v>
      </c>
      <c r="O16" s="30">
        <f>25</f>
        <v>25</v>
      </c>
      <c r="P16" s="30"/>
      <c r="Q16" s="30"/>
      <c r="R16" s="30">
        <f>I16+J16+L16+N16+O16+P16</f>
        <v>23741.839999999997</v>
      </c>
      <c r="S16" s="51">
        <f t="shared" si="1"/>
        <v>91258.16</v>
      </c>
    </row>
    <row r="17" spans="1:19" ht="35.450000000000003" customHeight="1" thickBot="1" x14ac:dyDescent="0.5">
      <c r="A17" s="25"/>
      <c r="B17" s="148" t="s">
        <v>38</v>
      </c>
      <c r="C17" s="149"/>
      <c r="D17" s="149"/>
      <c r="E17" s="149"/>
      <c r="F17" s="150"/>
      <c r="G17" s="84"/>
      <c r="H17" s="85">
        <f>H12+H13+H14+H15+H16</f>
        <v>612000</v>
      </c>
      <c r="I17" s="85">
        <f t="shared" ref="I17:S17" si="3">I12+I13+I14+I15+I16</f>
        <v>17564.400000000001</v>
      </c>
      <c r="J17" s="85">
        <f t="shared" si="3"/>
        <v>17647.96</v>
      </c>
      <c r="K17" s="85">
        <f t="shared" si="3"/>
        <v>576787.64</v>
      </c>
      <c r="L17" s="85">
        <f t="shared" si="3"/>
        <v>87907.99</v>
      </c>
      <c r="M17" s="85">
        <f t="shared" si="3"/>
        <v>0</v>
      </c>
      <c r="N17" s="85">
        <f t="shared" si="3"/>
        <v>1715.46</v>
      </c>
      <c r="O17" s="85">
        <f t="shared" si="3"/>
        <v>125</v>
      </c>
      <c r="P17" s="85">
        <f t="shared" si="3"/>
        <v>0</v>
      </c>
      <c r="Q17" s="85">
        <f t="shared" si="3"/>
        <v>15633.74</v>
      </c>
      <c r="R17" s="85">
        <f t="shared" si="3"/>
        <v>109327.07</v>
      </c>
      <c r="S17" s="85">
        <f t="shared" si="3"/>
        <v>502672.93000000005</v>
      </c>
    </row>
    <row r="18" spans="1:19" ht="48.6" customHeight="1" thickBot="1" x14ac:dyDescent="0.45">
      <c r="A18" s="25"/>
      <c r="B18" s="157" t="s">
        <v>115</v>
      </c>
      <c r="C18" s="158"/>
      <c r="D18" s="158"/>
      <c r="E18" s="159"/>
      <c r="F18" s="28"/>
      <c r="G18" s="28"/>
      <c r="H18" s="29"/>
      <c r="I18" s="30"/>
      <c r="J18" s="30"/>
      <c r="K18" s="30"/>
      <c r="L18" s="51"/>
      <c r="M18" s="51"/>
      <c r="N18" s="30"/>
      <c r="O18" s="30"/>
      <c r="P18" s="30"/>
      <c r="Q18" s="30"/>
      <c r="R18" s="30"/>
      <c r="S18" s="30"/>
    </row>
    <row r="19" spans="1:19" ht="36.6" customHeight="1" thickBot="1" x14ac:dyDescent="0.45">
      <c r="A19" s="25">
        <v>6</v>
      </c>
      <c r="B19" s="26">
        <v>43872</v>
      </c>
      <c r="C19" s="26">
        <v>45296</v>
      </c>
      <c r="D19" s="26" t="s">
        <v>29</v>
      </c>
      <c r="E19" s="86" t="s">
        <v>116</v>
      </c>
      <c r="F19" s="28" t="s">
        <v>117</v>
      </c>
      <c r="G19" s="27" t="s">
        <v>105</v>
      </c>
      <c r="H19" s="29">
        <v>225000</v>
      </c>
      <c r="I19" s="30">
        <f>H19*2.87%</f>
        <v>6457.5</v>
      </c>
      <c r="J19" s="30">
        <f>193525*3.04%</f>
        <v>5883.16</v>
      </c>
      <c r="K19" s="30">
        <f>H19-I19-J19</f>
        <v>212659.34</v>
      </c>
      <c r="L19" s="51">
        <v>41797.19</v>
      </c>
      <c r="M19" s="51"/>
      <c r="N19" s="30"/>
      <c r="O19" s="30">
        <f>25</f>
        <v>25</v>
      </c>
      <c r="P19" s="30"/>
      <c r="Q19" s="87"/>
      <c r="R19" s="87">
        <f>I19+J19+L19+N19+O19+P19</f>
        <v>54162.850000000006</v>
      </c>
      <c r="S19" s="51">
        <f>H19-R19</f>
        <v>170837.15</v>
      </c>
    </row>
    <row r="20" spans="1:19" ht="37.15" customHeight="1" thickBot="1" x14ac:dyDescent="0.45">
      <c r="A20" s="25">
        <v>7</v>
      </c>
      <c r="B20" s="26" t="s">
        <v>118</v>
      </c>
      <c r="C20" s="26">
        <v>45296</v>
      </c>
      <c r="D20" s="27" t="s">
        <v>29</v>
      </c>
      <c r="E20" s="28" t="s">
        <v>119</v>
      </c>
      <c r="F20" s="28" t="s">
        <v>120</v>
      </c>
      <c r="G20" s="27" t="s">
        <v>105</v>
      </c>
      <c r="H20" s="29">
        <v>125000</v>
      </c>
      <c r="I20" s="30">
        <f>H20*2.87%</f>
        <v>3587.5</v>
      </c>
      <c r="J20" s="30">
        <f>H20*3.04%</f>
        <v>3800</v>
      </c>
      <c r="K20" s="30">
        <f>H20-I20-J20</f>
        <v>117612.5</v>
      </c>
      <c r="L20" s="51">
        <v>17985.990000000002</v>
      </c>
      <c r="M20" s="51"/>
      <c r="N20" s="30"/>
      <c r="O20" s="30">
        <f>25</f>
        <v>25</v>
      </c>
      <c r="P20" s="30"/>
      <c r="Q20" s="87">
        <v>17985.990000000002</v>
      </c>
      <c r="R20" s="87">
        <f>I20+J20+N20+O20+P20+L20-Q20</f>
        <v>7412.5</v>
      </c>
      <c r="S20" s="51">
        <f t="shared" ref="S20:S21" si="4">H20-R20</f>
        <v>117587.5</v>
      </c>
    </row>
    <row r="21" spans="1:19" ht="37.15" customHeight="1" thickBot="1" x14ac:dyDescent="0.5">
      <c r="A21" s="25">
        <v>8</v>
      </c>
      <c r="B21" s="26">
        <v>44928</v>
      </c>
      <c r="C21" s="26">
        <v>45296</v>
      </c>
      <c r="D21" s="27" t="s">
        <v>29</v>
      </c>
      <c r="E21" s="28" t="s">
        <v>121</v>
      </c>
      <c r="F21" s="28" t="s">
        <v>122</v>
      </c>
      <c r="G21" s="27" t="s">
        <v>105</v>
      </c>
      <c r="H21" s="29">
        <v>82000</v>
      </c>
      <c r="I21" s="30">
        <f>H21*2.87%</f>
        <v>2353.4</v>
      </c>
      <c r="J21" s="30">
        <f>H21*3.04%</f>
        <v>2492.8000000000002</v>
      </c>
      <c r="K21" s="30">
        <f>H21-I21-J21</f>
        <v>77153.8</v>
      </c>
      <c r="L21" s="51">
        <v>7871.32</v>
      </c>
      <c r="M21" s="51"/>
      <c r="N21" s="30"/>
      <c r="O21" s="30">
        <v>25</v>
      </c>
      <c r="P21" s="30"/>
      <c r="Q21" s="87">
        <v>7871.32</v>
      </c>
      <c r="R21" s="87">
        <f>I21+J21+N21+O21+P21+L21-Q21</f>
        <v>4871.2000000000007</v>
      </c>
      <c r="S21" s="51">
        <f t="shared" si="4"/>
        <v>77128.800000000003</v>
      </c>
    </row>
    <row r="22" spans="1:19" ht="39.6" customHeight="1" thickBot="1" x14ac:dyDescent="0.5">
      <c r="A22" s="25"/>
      <c r="B22" s="148" t="s">
        <v>123</v>
      </c>
      <c r="C22" s="149"/>
      <c r="D22" s="149"/>
      <c r="E22" s="149"/>
      <c r="F22" s="150"/>
      <c r="G22" s="88"/>
      <c r="H22" s="85">
        <f>H19+H20+H21</f>
        <v>432000</v>
      </c>
      <c r="I22" s="85">
        <f t="shared" ref="I22:S22" si="5">I19+I20+I21</f>
        <v>12398.4</v>
      </c>
      <c r="J22" s="85">
        <f t="shared" si="5"/>
        <v>12175.96</v>
      </c>
      <c r="K22" s="85">
        <f t="shared" si="5"/>
        <v>407425.63999999996</v>
      </c>
      <c r="L22" s="85">
        <f t="shared" si="5"/>
        <v>67654.5</v>
      </c>
      <c r="M22" s="85">
        <f t="shared" si="5"/>
        <v>0</v>
      </c>
      <c r="N22" s="85">
        <f t="shared" si="5"/>
        <v>0</v>
      </c>
      <c r="O22" s="85">
        <f t="shared" si="5"/>
        <v>75</v>
      </c>
      <c r="P22" s="85">
        <f t="shared" si="5"/>
        <v>0</v>
      </c>
      <c r="Q22" s="85">
        <f t="shared" si="5"/>
        <v>25857.31</v>
      </c>
      <c r="R22" s="85">
        <f t="shared" si="5"/>
        <v>66446.55</v>
      </c>
      <c r="S22" s="85">
        <f t="shared" si="5"/>
        <v>365553.45</v>
      </c>
    </row>
    <row r="23" spans="1:19" ht="48.6" customHeight="1" thickBot="1" x14ac:dyDescent="0.45">
      <c r="A23" s="25"/>
      <c r="B23" s="157" t="s">
        <v>124</v>
      </c>
      <c r="C23" s="158"/>
      <c r="D23" s="158"/>
      <c r="E23" s="158"/>
      <c r="F23" s="35"/>
      <c r="G23" s="88"/>
      <c r="H23" s="84"/>
      <c r="I23" s="84"/>
      <c r="J23" s="84"/>
      <c r="K23" s="84"/>
      <c r="L23" s="84"/>
      <c r="M23" s="84"/>
      <c r="N23" s="84"/>
      <c r="O23" s="29"/>
      <c r="P23" s="84"/>
      <c r="Q23" s="89"/>
      <c r="R23" s="89"/>
      <c r="S23" s="84"/>
    </row>
    <row r="24" spans="1:19" ht="37.15" customHeight="1" thickBot="1" x14ac:dyDescent="0.5">
      <c r="A24" s="25">
        <v>9</v>
      </c>
      <c r="B24" s="26" t="s">
        <v>125</v>
      </c>
      <c r="C24" s="26">
        <v>45293</v>
      </c>
      <c r="D24" s="26" t="s">
        <v>29</v>
      </c>
      <c r="E24" s="90" t="s">
        <v>126</v>
      </c>
      <c r="F24" s="90" t="s">
        <v>127</v>
      </c>
      <c r="G24" s="27" t="s">
        <v>105</v>
      </c>
      <c r="H24" s="29">
        <v>245000</v>
      </c>
      <c r="I24" s="29">
        <f t="shared" ref="I24:I31" si="6">H24*2.87%</f>
        <v>7031.5</v>
      </c>
      <c r="J24" s="29">
        <f>193525*3.04%</f>
        <v>5883.16</v>
      </c>
      <c r="K24" s="29">
        <f t="shared" ref="K24:K31" si="7">H24-I24-J24</f>
        <v>232085.34</v>
      </c>
      <c r="L24" s="29">
        <v>46604.2</v>
      </c>
      <c r="M24" s="29"/>
      <c r="N24" s="29"/>
      <c r="O24" s="29">
        <v>25</v>
      </c>
      <c r="P24" s="29"/>
      <c r="Q24" s="82">
        <v>26014.59</v>
      </c>
      <c r="R24" s="82">
        <f>I24+J24+L24+N24+O24+P24-Q24</f>
        <v>33529.270000000004</v>
      </c>
      <c r="S24" s="29">
        <f t="shared" ref="S24:S31" si="8">H24-R24</f>
        <v>211470.72999999998</v>
      </c>
    </row>
    <row r="25" spans="1:19" ht="37.15" customHeight="1" thickBot="1" x14ac:dyDescent="0.45">
      <c r="A25" s="25">
        <v>10</v>
      </c>
      <c r="B25" s="32">
        <v>44198</v>
      </c>
      <c r="C25" s="32">
        <v>45293</v>
      </c>
      <c r="D25" s="26" t="s">
        <v>29</v>
      </c>
      <c r="E25" s="90" t="s">
        <v>128</v>
      </c>
      <c r="F25" s="86" t="s">
        <v>129</v>
      </c>
      <c r="G25" s="27" t="s">
        <v>105</v>
      </c>
      <c r="H25" s="29">
        <v>110000</v>
      </c>
      <c r="I25" s="29">
        <f t="shared" si="6"/>
        <v>3157</v>
      </c>
      <c r="J25" s="29">
        <f t="shared" ref="J25:J31" si="9">H25*3.04%</f>
        <v>3344</v>
      </c>
      <c r="K25" s="29">
        <f t="shared" si="7"/>
        <v>103499</v>
      </c>
      <c r="L25" s="29">
        <v>14457.42</v>
      </c>
      <c r="M25" s="29"/>
      <c r="N25" s="29"/>
      <c r="O25" s="29">
        <f>25</f>
        <v>25</v>
      </c>
      <c r="P25" s="29"/>
      <c r="Q25" s="82"/>
      <c r="R25" s="82">
        <f t="shared" ref="R25:R31" si="10">I25+L25+N25+O25+P25+J25</f>
        <v>20983.42</v>
      </c>
      <c r="S25" s="29">
        <f t="shared" si="8"/>
        <v>89016.58</v>
      </c>
    </row>
    <row r="26" spans="1:19" ht="37.15" customHeight="1" thickBot="1" x14ac:dyDescent="0.5">
      <c r="A26" s="25">
        <v>11</v>
      </c>
      <c r="B26" s="32">
        <v>44175</v>
      </c>
      <c r="C26" s="32">
        <v>45293</v>
      </c>
      <c r="D26" s="26" t="s">
        <v>23</v>
      </c>
      <c r="E26" s="90" t="s">
        <v>130</v>
      </c>
      <c r="F26" s="86" t="s">
        <v>131</v>
      </c>
      <c r="G26" s="27" t="s">
        <v>105</v>
      </c>
      <c r="H26" s="29">
        <v>85000</v>
      </c>
      <c r="I26" s="29">
        <f t="shared" si="6"/>
        <v>2439.5</v>
      </c>
      <c r="J26" s="29">
        <f t="shared" si="9"/>
        <v>2584</v>
      </c>
      <c r="K26" s="29">
        <f t="shared" si="7"/>
        <v>79976.5</v>
      </c>
      <c r="L26" s="29">
        <v>8576.99</v>
      </c>
      <c r="M26" s="29"/>
      <c r="N26" s="84"/>
      <c r="O26" s="29">
        <v>25</v>
      </c>
      <c r="P26" s="84"/>
      <c r="Q26" s="89"/>
      <c r="R26" s="82">
        <f t="shared" si="10"/>
        <v>13625.49</v>
      </c>
      <c r="S26" s="29">
        <f t="shared" si="8"/>
        <v>71374.509999999995</v>
      </c>
    </row>
    <row r="27" spans="1:19" ht="37.15" customHeight="1" thickBot="1" x14ac:dyDescent="0.5">
      <c r="A27" s="25">
        <v>12</v>
      </c>
      <c r="B27" s="32">
        <v>44564</v>
      </c>
      <c r="C27" s="32">
        <v>45294</v>
      </c>
      <c r="D27" s="26" t="s">
        <v>29</v>
      </c>
      <c r="E27" s="90" t="s">
        <v>132</v>
      </c>
      <c r="F27" s="86" t="s">
        <v>133</v>
      </c>
      <c r="G27" s="27" t="s">
        <v>105</v>
      </c>
      <c r="H27" s="29">
        <v>90000</v>
      </c>
      <c r="I27" s="29">
        <f t="shared" si="6"/>
        <v>2583</v>
      </c>
      <c r="J27" s="29">
        <f t="shared" si="9"/>
        <v>2736</v>
      </c>
      <c r="K27" s="29">
        <f t="shared" si="7"/>
        <v>84681</v>
      </c>
      <c r="L27" s="29">
        <v>9753.1200000000008</v>
      </c>
      <c r="M27" s="29">
        <v>0</v>
      </c>
      <c r="N27" s="84"/>
      <c r="O27" s="29">
        <v>25</v>
      </c>
      <c r="P27" s="84"/>
      <c r="Q27" s="89"/>
      <c r="R27" s="82">
        <f t="shared" si="10"/>
        <v>15097.12</v>
      </c>
      <c r="S27" s="29">
        <f t="shared" si="8"/>
        <v>74902.880000000005</v>
      </c>
    </row>
    <row r="28" spans="1:19" ht="37.15" customHeight="1" thickBot="1" x14ac:dyDescent="0.5">
      <c r="A28" s="25">
        <v>13</v>
      </c>
      <c r="B28" s="32">
        <v>44207</v>
      </c>
      <c r="C28" s="32">
        <v>45296</v>
      </c>
      <c r="D28" s="26" t="s">
        <v>23</v>
      </c>
      <c r="E28" s="90" t="s">
        <v>134</v>
      </c>
      <c r="F28" s="28" t="s">
        <v>135</v>
      </c>
      <c r="G28" s="27" t="s">
        <v>105</v>
      </c>
      <c r="H28" s="29">
        <v>65000</v>
      </c>
      <c r="I28" s="29">
        <f t="shared" si="6"/>
        <v>1865.5</v>
      </c>
      <c r="J28" s="29">
        <f t="shared" si="9"/>
        <v>1976</v>
      </c>
      <c r="K28" s="29">
        <f t="shared" si="7"/>
        <v>61158.5</v>
      </c>
      <c r="L28" s="29">
        <v>4427.58</v>
      </c>
      <c r="M28" s="29"/>
      <c r="N28" s="84"/>
      <c r="O28" s="29">
        <v>25</v>
      </c>
      <c r="P28" s="84"/>
      <c r="Q28" s="89"/>
      <c r="R28" s="82">
        <f t="shared" si="10"/>
        <v>8294.08</v>
      </c>
      <c r="S28" s="29">
        <f t="shared" si="8"/>
        <v>56705.919999999998</v>
      </c>
    </row>
    <row r="29" spans="1:19" ht="37.15" customHeight="1" thickBot="1" x14ac:dyDescent="0.45">
      <c r="A29" s="25">
        <v>14</v>
      </c>
      <c r="B29" s="32">
        <v>44567</v>
      </c>
      <c r="C29" s="32">
        <v>45297</v>
      </c>
      <c r="D29" s="26" t="s">
        <v>29</v>
      </c>
      <c r="E29" s="90" t="s">
        <v>136</v>
      </c>
      <c r="F29" s="28" t="s">
        <v>137</v>
      </c>
      <c r="G29" s="27" t="s">
        <v>105</v>
      </c>
      <c r="H29" s="29">
        <v>70000</v>
      </c>
      <c r="I29" s="29">
        <f t="shared" si="6"/>
        <v>2009</v>
      </c>
      <c r="J29" s="29">
        <f t="shared" si="9"/>
        <v>2128</v>
      </c>
      <c r="K29" s="29">
        <f t="shared" si="7"/>
        <v>65863</v>
      </c>
      <c r="L29" s="29">
        <v>7400.87</v>
      </c>
      <c r="M29" s="29">
        <v>0</v>
      </c>
      <c r="N29" s="84"/>
      <c r="O29" s="29">
        <f>25</f>
        <v>25</v>
      </c>
      <c r="P29" s="84"/>
      <c r="Q29" s="89"/>
      <c r="R29" s="82">
        <f t="shared" si="10"/>
        <v>11562.869999999999</v>
      </c>
      <c r="S29" s="29">
        <f t="shared" si="8"/>
        <v>58437.130000000005</v>
      </c>
    </row>
    <row r="30" spans="1:19" ht="37.15" customHeight="1" thickBot="1" x14ac:dyDescent="0.5">
      <c r="A30" s="25">
        <v>15</v>
      </c>
      <c r="B30" s="32">
        <v>44566</v>
      </c>
      <c r="C30" s="32">
        <v>45296</v>
      </c>
      <c r="D30" s="26" t="s">
        <v>29</v>
      </c>
      <c r="E30" s="90" t="s">
        <v>138</v>
      </c>
      <c r="F30" s="28" t="s">
        <v>139</v>
      </c>
      <c r="G30" s="27" t="s">
        <v>105</v>
      </c>
      <c r="H30" s="29">
        <v>67500</v>
      </c>
      <c r="I30" s="29">
        <f t="shared" si="6"/>
        <v>1937.25</v>
      </c>
      <c r="J30" s="29">
        <f t="shared" si="9"/>
        <v>2052</v>
      </c>
      <c r="K30" s="29">
        <f t="shared" si="7"/>
        <v>63510.75</v>
      </c>
      <c r="L30" s="29">
        <v>4898.03</v>
      </c>
      <c r="M30" s="29"/>
      <c r="N30" s="84"/>
      <c r="O30" s="29">
        <f>25</f>
        <v>25</v>
      </c>
      <c r="P30" s="84"/>
      <c r="Q30" s="89"/>
      <c r="R30" s="82">
        <f t="shared" si="10"/>
        <v>8912.2799999999988</v>
      </c>
      <c r="S30" s="29">
        <f t="shared" si="8"/>
        <v>58587.72</v>
      </c>
    </row>
    <row r="31" spans="1:19" ht="37.15" customHeight="1" thickBot="1" x14ac:dyDescent="0.5">
      <c r="A31" s="25">
        <v>16</v>
      </c>
      <c r="B31" s="32">
        <v>44936</v>
      </c>
      <c r="C31" s="32">
        <v>45295</v>
      </c>
      <c r="D31" s="26" t="s">
        <v>29</v>
      </c>
      <c r="E31" s="90" t="s">
        <v>140</v>
      </c>
      <c r="F31" s="28" t="s">
        <v>141</v>
      </c>
      <c r="G31" s="27" t="s">
        <v>142</v>
      </c>
      <c r="H31" s="29">
        <v>100000</v>
      </c>
      <c r="I31" s="29">
        <f t="shared" si="6"/>
        <v>2870</v>
      </c>
      <c r="J31" s="29">
        <f t="shared" si="9"/>
        <v>3040</v>
      </c>
      <c r="K31" s="29">
        <f t="shared" si="7"/>
        <v>94090</v>
      </c>
      <c r="L31" s="29">
        <v>12105.44</v>
      </c>
      <c r="M31" s="29"/>
      <c r="N31" s="84"/>
      <c r="O31" s="29">
        <v>25</v>
      </c>
      <c r="P31" s="84"/>
      <c r="Q31" s="89"/>
      <c r="R31" s="82">
        <f t="shared" si="10"/>
        <v>18040.440000000002</v>
      </c>
      <c r="S31" s="29">
        <f t="shared" si="8"/>
        <v>81959.56</v>
      </c>
    </row>
    <row r="32" spans="1:19" ht="48.6" customHeight="1" thickBot="1" x14ac:dyDescent="0.5">
      <c r="A32" s="25"/>
      <c r="B32" s="148" t="s">
        <v>123</v>
      </c>
      <c r="C32" s="149"/>
      <c r="D32" s="149"/>
      <c r="E32" s="149"/>
      <c r="F32" s="150"/>
      <c r="G32" s="88"/>
      <c r="H32" s="91">
        <f>H24+H25+H26+H28+H27+H29+H30+H31</f>
        <v>832500</v>
      </c>
      <c r="I32" s="91">
        <f t="shared" ref="I32:S32" si="11">I24+I25+I26+I28+I27+I29+I30+I31</f>
        <v>23892.75</v>
      </c>
      <c r="J32" s="91">
        <f t="shared" si="11"/>
        <v>23743.16</v>
      </c>
      <c r="K32" s="91">
        <f t="shared" si="11"/>
        <v>784864.09</v>
      </c>
      <c r="L32" s="91">
        <f t="shared" si="11"/>
        <v>108223.65</v>
      </c>
      <c r="M32" s="91">
        <f t="shared" si="11"/>
        <v>0</v>
      </c>
      <c r="N32" s="91">
        <f t="shared" si="11"/>
        <v>0</v>
      </c>
      <c r="O32" s="91">
        <f t="shared" si="11"/>
        <v>200</v>
      </c>
      <c r="P32" s="91">
        <f t="shared" si="11"/>
        <v>0</v>
      </c>
      <c r="Q32" s="91">
        <f t="shared" si="11"/>
        <v>26014.59</v>
      </c>
      <c r="R32" s="91">
        <f t="shared" si="11"/>
        <v>130044.97</v>
      </c>
      <c r="S32" s="91">
        <f t="shared" si="11"/>
        <v>702455.03</v>
      </c>
    </row>
    <row r="33" spans="1:19" ht="37.15" customHeight="1" thickBot="1" x14ac:dyDescent="0.5">
      <c r="A33" s="25"/>
      <c r="B33" s="157" t="s">
        <v>143</v>
      </c>
      <c r="C33" s="158"/>
      <c r="D33" s="158"/>
      <c r="E33" s="159"/>
      <c r="F33" s="35"/>
      <c r="G33" s="88"/>
      <c r="H33" s="84"/>
      <c r="I33" s="84"/>
      <c r="J33" s="84"/>
      <c r="K33" s="84"/>
      <c r="L33" s="84"/>
      <c r="M33" s="84"/>
      <c r="N33" s="84"/>
      <c r="O33" s="84"/>
      <c r="P33" s="84"/>
      <c r="Q33" s="89"/>
      <c r="R33" s="89"/>
      <c r="S33" s="84"/>
    </row>
    <row r="34" spans="1:19" ht="38.450000000000003" customHeight="1" thickBot="1" x14ac:dyDescent="0.45">
      <c r="A34" s="25">
        <v>17</v>
      </c>
      <c r="B34" s="32" t="s">
        <v>22</v>
      </c>
      <c r="C34" s="32">
        <v>45293</v>
      </c>
      <c r="D34" s="26" t="s">
        <v>29</v>
      </c>
      <c r="E34" s="90" t="s">
        <v>144</v>
      </c>
      <c r="F34" s="86" t="s">
        <v>145</v>
      </c>
      <c r="G34" s="27" t="s">
        <v>105</v>
      </c>
      <c r="H34" s="29">
        <v>245000</v>
      </c>
      <c r="I34" s="29">
        <f t="shared" ref="I34:I40" si="12">H34*2.87%</f>
        <v>7031.5</v>
      </c>
      <c r="J34" s="29">
        <f>193525*3.04%</f>
        <v>5883.16</v>
      </c>
      <c r="K34" s="29">
        <f t="shared" ref="K34:K40" si="13">H34-I34-J34</f>
        <v>232085.34</v>
      </c>
      <c r="L34" s="29">
        <v>46604.2</v>
      </c>
      <c r="M34" s="29"/>
      <c r="N34" s="29"/>
      <c r="O34" s="29">
        <v>25</v>
      </c>
      <c r="P34" s="29"/>
      <c r="Q34" s="82">
        <v>26014.59</v>
      </c>
      <c r="R34" s="82">
        <f>I34+J34+N34+O34+P34+L34-Q34</f>
        <v>33529.270000000004</v>
      </c>
      <c r="S34" s="29">
        <f t="shared" ref="S34:S40" si="14">H34-R34</f>
        <v>211470.72999999998</v>
      </c>
    </row>
    <row r="35" spans="1:19" ht="57.75" thickBot="1" x14ac:dyDescent="0.45">
      <c r="A35" s="25">
        <v>18</v>
      </c>
      <c r="B35" s="32">
        <v>44198</v>
      </c>
      <c r="C35" s="32">
        <v>45293</v>
      </c>
      <c r="D35" s="26" t="s">
        <v>29</v>
      </c>
      <c r="E35" s="90" t="s">
        <v>146</v>
      </c>
      <c r="F35" s="92" t="s">
        <v>147</v>
      </c>
      <c r="G35" s="93" t="s">
        <v>105</v>
      </c>
      <c r="H35" s="29">
        <v>150000</v>
      </c>
      <c r="I35" s="29">
        <f t="shared" si="12"/>
        <v>4305</v>
      </c>
      <c r="J35" s="29">
        <f t="shared" ref="J35:J40" si="15">H35*3.04%</f>
        <v>4560</v>
      </c>
      <c r="K35" s="29">
        <f t="shared" si="13"/>
        <v>141135</v>
      </c>
      <c r="L35" s="29">
        <v>23866.69</v>
      </c>
      <c r="M35" s="94"/>
      <c r="N35" s="95"/>
      <c r="O35" s="29">
        <v>25</v>
      </c>
      <c r="P35" s="29"/>
      <c r="Q35" s="82">
        <v>23866.62</v>
      </c>
      <c r="R35" s="82">
        <f>I35+J35+N35+O35+P35+L35-Q35</f>
        <v>8890.07</v>
      </c>
      <c r="S35" s="29">
        <f t="shared" si="14"/>
        <v>141109.93</v>
      </c>
    </row>
    <row r="36" spans="1:19" ht="38.450000000000003" customHeight="1" thickBot="1" x14ac:dyDescent="0.5">
      <c r="A36" s="25">
        <v>19</v>
      </c>
      <c r="B36" s="32">
        <v>44621</v>
      </c>
      <c r="C36" s="32">
        <v>44997</v>
      </c>
      <c r="D36" s="26" t="s">
        <v>23</v>
      </c>
      <c r="E36" s="90" t="s">
        <v>148</v>
      </c>
      <c r="F36" s="86" t="s">
        <v>149</v>
      </c>
      <c r="G36" s="93" t="s">
        <v>105</v>
      </c>
      <c r="H36" s="29">
        <v>95000</v>
      </c>
      <c r="I36" s="29">
        <f t="shared" si="12"/>
        <v>2726.5</v>
      </c>
      <c r="J36" s="29">
        <f t="shared" si="15"/>
        <v>2888</v>
      </c>
      <c r="K36" s="29">
        <f t="shared" si="13"/>
        <v>89385.5</v>
      </c>
      <c r="L36" s="29">
        <v>9753.1200000000008</v>
      </c>
      <c r="M36" s="29"/>
      <c r="N36" s="29"/>
      <c r="O36" s="29">
        <v>25</v>
      </c>
      <c r="P36" s="29"/>
      <c r="Q36" s="82"/>
      <c r="R36" s="82">
        <f t="shared" ref="R36:R40" si="16">I36+J36+N36+O36+P36+L36</f>
        <v>15392.62</v>
      </c>
      <c r="S36" s="29">
        <f t="shared" si="14"/>
        <v>79607.38</v>
      </c>
    </row>
    <row r="37" spans="1:19" ht="37.15" customHeight="1" thickBot="1" x14ac:dyDescent="0.5">
      <c r="A37" s="25">
        <v>20</v>
      </c>
      <c r="B37" s="32">
        <v>44198</v>
      </c>
      <c r="C37" s="32">
        <v>45293</v>
      </c>
      <c r="D37" s="26" t="s">
        <v>23</v>
      </c>
      <c r="E37" s="90" t="s">
        <v>150</v>
      </c>
      <c r="F37" s="86" t="s">
        <v>151</v>
      </c>
      <c r="G37" s="27" t="s">
        <v>105</v>
      </c>
      <c r="H37" s="29">
        <v>60000</v>
      </c>
      <c r="I37" s="29">
        <f t="shared" si="12"/>
        <v>1722</v>
      </c>
      <c r="J37" s="29">
        <f t="shared" si="15"/>
        <v>1824</v>
      </c>
      <c r="K37" s="29">
        <f t="shared" si="13"/>
        <v>56454</v>
      </c>
      <c r="L37" s="29">
        <v>3483.0699999999997</v>
      </c>
      <c r="M37" s="29"/>
      <c r="N37" s="29"/>
      <c r="O37" s="29">
        <v>25</v>
      </c>
      <c r="P37" s="29"/>
      <c r="Q37" s="82"/>
      <c r="R37" s="82">
        <f>I37+J37+N37+O37+P37+L37</f>
        <v>7054.07</v>
      </c>
      <c r="S37" s="29">
        <f t="shared" si="14"/>
        <v>52945.93</v>
      </c>
    </row>
    <row r="38" spans="1:19" ht="37.15" customHeight="1" thickBot="1" x14ac:dyDescent="0.5">
      <c r="A38" s="25">
        <v>21</v>
      </c>
      <c r="B38" s="32">
        <v>44206</v>
      </c>
      <c r="C38" s="32">
        <v>45293</v>
      </c>
      <c r="D38" s="26" t="s">
        <v>29</v>
      </c>
      <c r="E38" s="90" t="s">
        <v>152</v>
      </c>
      <c r="F38" s="86" t="s">
        <v>149</v>
      </c>
      <c r="G38" s="27" t="s">
        <v>105</v>
      </c>
      <c r="H38" s="29">
        <v>75000</v>
      </c>
      <c r="I38" s="29">
        <f t="shared" si="12"/>
        <v>2152.5</v>
      </c>
      <c r="J38" s="29">
        <f t="shared" si="15"/>
        <v>2280</v>
      </c>
      <c r="K38" s="29">
        <f t="shared" si="13"/>
        <v>70567.5</v>
      </c>
      <c r="L38" s="29">
        <v>6309.38</v>
      </c>
      <c r="M38" s="29">
        <v>0</v>
      </c>
      <c r="N38" s="29"/>
      <c r="O38" s="29">
        <v>25</v>
      </c>
      <c r="P38" s="29"/>
      <c r="Q38" s="82"/>
      <c r="R38" s="82">
        <f t="shared" si="16"/>
        <v>10766.880000000001</v>
      </c>
      <c r="S38" s="29">
        <f t="shared" si="14"/>
        <v>64233.119999999995</v>
      </c>
    </row>
    <row r="39" spans="1:19" ht="37.15" customHeight="1" thickBot="1" x14ac:dyDescent="0.5">
      <c r="A39" s="25">
        <v>22</v>
      </c>
      <c r="B39" s="32">
        <v>44198</v>
      </c>
      <c r="C39" s="32">
        <v>45297</v>
      </c>
      <c r="D39" s="26" t="s">
        <v>29</v>
      </c>
      <c r="E39" s="90" t="s">
        <v>153</v>
      </c>
      <c r="F39" s="86" t="s">
        <v>149</v>
      </c>
      <c r="G39" s="27" t="s">
        <v>105</v>
      </c>
      <c r="H39" s="29">
        <v>95000</v>
      </c>
      <c r="I39" s="29">
        <f t="shared" si="12"/>
        <v>2726.5</v>
      </c>
      <c r="J39" s="29">
        <f t="shared" si="15"/>
        <v>2888</v>
      </c>
      <c r="K39" s="29">
        <f t="shared" si="13"/>
        <v>89385.5</v>
      </c>
      <c r="L39" s="29">
        <v>10929.24</v>
      </c>
      <c r="M39" s="29"/>
      <c r="N39" s="29"/>
      <c r="O39" s="29">
        <v>25</v>
      </c>
      <c r="P39" s="29">
        <v>4602.7</v>
      </c>
      <c r="Q39" s="82"/>
      <c r="R39" s="82">
        <f t="shared" si="16"/>
        <v>21171.440000000002</v>
      </c>
      <c r="S39" s="29">
        <f t="shared" si="14"/>
        <v>73828.56</v>
      </c>
    </row>
    <row r="40" spans="1:19" ht="37.15" customHeight="1" thickBot="1" x14ac:dyDescent="0.5">
      <c r="A40" s="25">
        <v>23</v>
      </c>
      <c r="B40" s="32">
        <v>44938</v>
      </c>
      <c r="C40" s="32">
        <v>45297</v>
      </c>
      <c r="D40" s="26" t="s">
        <v>23</v>
      </c>
      <c r="E40" s="90" t="s">
        <v>154</v>
      </c>
      <c r="F40" s="86" t="s">
        <v>149</v>
      </c>
      <c r="G40" s="27" t="s">
        <v>105</v>
      </c>
      <c r="H40" s="29">
        <v>95000</v>
      </c>
      <c r="I40" s="29">
        <f t="shared" si="12"/>
        <v>2726.5</v>
      </c>
      <c r="J40" s="29">
        <f t="shared" si="15"/>
        <v>2888</v>
      </c>
      <c r="K40" s="29">
        <f t="shared" si="13"/>
        <v>89385.5</v>
      </c>
      <c r="L40" s="29">
        <v>10929.24</v>
      </c>
      <c r="M40" s="29"/>
      <c r="N40" s="29"/>
      <c r="O40" s="29">
        <v>25</v>
      </c>
      <c r="P40" s="29">
        <v>4602.7</v>
      </c>
      <c r="Q40" s="82"/>
      <c r="R40" s="82">
        <f t="shared" si="16"/>
        <v>21171.440000000002</v>
      </c>
      <c r="S40" s="29">
        <f t="shared" si="14"/>
        <v>73828.56</v>
      </c>
    </row>
    <row r="41" spans="1:19" ht="48.6" customHeight="1" thickBot="1" x14ac:dyDescent="0.5">
      <c r="A41" s="25"/>
      <c r="B41" s="148" t="s">
        <v>123</v>
      </c>
      <c r="C41" s="149"/>
      <c r="D41" s="149"/>
      <c r="E41" s="149"/>
      <c r="F41" s="150"/>
      <c r="G41" s="88"/>
      <c r="H41" s="85">
        <f>H34+H35+H37+H38+H36+H39+H40</f>
        <v>815000</v>
      </c>
      <c r="I41" s="85">
        <f t="shared" ref="I41:S41" si="17">I34+I35+I37+I38+I36+I39+I40</f>
        <v>23390.5</v>
      </c>
      <c r="J41" s="85">
        <f t="shared" si="17"/>
        <v>23211.16</v>
      </c>
      <c r="K41" s="85">
        <f t="shared" si="17"/>
        <v>768398.34</v>
      </c>
      <c r="L41" s="85">
        <f t="shared" si="17"/>
        <v>111874.94</v>
      </c>
      <c r="M41" s="85">
        <f t="shared" si="17"/>
        <v>0</v>
      </c>
      <c r="N41" s="85">
        <f t="shared" si="17"/>
        <v>0</v>
      </c>
      <c r="O41" s="85">
        <f t="shared" si="17"/>
        <v>175</v>
      </c>
      <c r="P41" s="85">
        <f t="shared" si="17"/>
        <v>9205.4</v>
      </c>
      <c r="Q41" s="85">
        <f t="shared" si="17"/>
        <v>49881.21</v>
      </c>
      <c r="R41" s="85">
        <f t="shared" si="17"/>
        <v>117975.79000000001</v>
      </c>
      <c r="S41" s="85">
        <f t="shared" si="17"/>
        <v>697024.21</v>
      </c>
    </row>
    <row r="42" spans="1:19" ht="48.6" customHeight="1" thickBot="1" x14ac:dyDescent="0.45">
      <c r="A42" s="25"/>
      <c r="B42" s="157" t="s">
        <v>155</v>
      </c>
      <c r="C42" s="158"/>
      <c r="D42" s="158"/>
      <c r="E42" s="159"/>
      <c r="F42" s="35"/>
      <c r="G42" s="88"/>
      <c r="H42" s="84"/>
      <c r="I42" s="84"/>
      <c r="J42" s="84"/>
      <c r="K42" s="84"/>
      <c r="L42" s="84"/>
      <c r="M42" s="84"/>
      <c r="N42" s="84"/>
      <c r="O42" s="29"/>
      <c r="P42" s="84"/>
      <c r="Q42" s="89"/>
      <c r="R42" s="89"/>
      <c r="S42" s="84"/>
    </row>
    <row r="43" spans="1:19" ht="37.15" customHeight="1" thickBot="1" x14ac:dyDescent="0.5">
      <c r="A43" s="25">
        <v>24</v>
      </c>
      <c r="B43" s="32" t="s">
        <v>22</v>
      </c>
      <c r="C43" s="32">
        <v>45296</v>
      </c>
      <c r="D43" s="26" t="s">
        <v>23</v>
      </c>
      <c r="E43" s="90" t="s">
        <v>156</v>
      </c>
      <c r="F43" s="86" t="s">
        <v>157</v>
      </c>
      <c r="G43" s="27" t="s">
        <v>105</v>
      </c>
      <c r="H43" s="29">
        <v>225000</v>
      </c>
      <c r="I43" s="29">
        <f t="shared" ref="I43:I56" si="18">H43*2.87%</f>
        <v>6457.5</v>
      </c>
      <c r="J43" s="29">
        <f>193525*3.04%</f>
        <v>5883.16</v>
      </c>
      <c r="K43" s="29">
        <f t="shared" ref="K43:K56" si="19">H43-I43-J43</f>
        <v>212659.34</v>
      </c>
      <c r="L43" s="29">
        <v>41797.19</v>
      </c>
      <c r="M43" s="29"/>
      <c r="N43" s="84"/>
      <c r="O43" s="29">
        <v>25</v>
      </c>
      <c r="P43" s="84"/>
      <c r="Q43" s="89"/>
      <c r="R43" s="82">
        <f t="shared" ref="R43:R56" si="20">I43+J43+N337+L43+N43+O43+P43</f>
        <v>54162.850000000006</v>
      </c>
      <c r="S43" s="29">
        <f t="shared" ref="S43:S56" si="21">H43-R43</f>
        <v>170837.15</v>
      </c>
    </row>
    <row r="44" spans="1:19" ht="37.15" customHeight="1" thickBot="1" x14ac:dyDescent="0.5">
      <c r="A44" s="25">
        <v>25</v>
      </c>
      <c r="B44" s="32">
        <v>43872</v>
      </c>
      <c r="C44" s="32">
        <v>45296</v>
      </c>
      <c r="D44" s="26" t="s">
        <v>23</v>
      </c>
      <c r="E44" s="90" t="s">
        <v>158</v>
      </c>
      <c r="F44" s="86" t="s">
        <v>159</v>
      </c>
      <c r="G44" s="27" t="s">
        <v>105</v>
      </c>
      <c r="H44" s="29">
        <v>135000</v>
      </c>
      <c r="I44" s="29">
        <f t="shared" si="18"/>
        <v>3874.5</v>
      </c>
      <c r="J44" s="29">
        <f t="shared" ref="J44:J56" si="22">H44*3.04%</f>
        <v>4104</v>
      </c>
      <c r="K44" s="29">
        <f t="shared" si="19"/>
        <v>127021.5</v>
      </c>
      <c r="L44" s="29">
        <v>20338.189999999999</v>
      </c>
      <c r="M44" s="29"/>
      <c r="N44" s="84"/>
      <c r="O44" s="29">
        <v>25</v>
      </c>
      <c r="P44" s="84"/>
      <c r="Q44" s="89"/>
      <c r="R44" s="82">
        <f t="shared" si="20"/>
        <v>28341.69</v>
      </c>
      <c r="S44" s="29">
        <f t="shared" si="21"/>
        <v>106658.31</v>
      </c>
    </row>
    <row r="45" spans="1:19" ht="37.15" customHeight="1" thickBot="1" x14ac:dyDescent="0.5">
      <c r="A45" s="25">
        <v>26</v>
      </c>
      <c r="B45" s="26" t="s">
        <v>160</v>
      </c>
      <c r="C45" s="96">
        <v>45296</v>
      </c>
      <c r="D45" s="96" t="s">
        <v>29</v>
      </c>
      <c r="E45" s="90" t="s">
        <v>161</v>
      </c>
      <c r="F45" s="97" t="s">
        <v>162</v>
      </c>
      <c r="G45" s="27" t="s">
        <v>105</v>
      </c>
      <c r="H45" s="29">
        <v>110000</v>
      </c>
      <c r="I45" s="29">
        <f t="shared" si="18"/>
        <v>3157</v>
      </c>
      <c r="J45" s="29">
        <f t="shared" si="22"/>
        <v>3344</v>
      </c>
      <c r="K45" s="29">
        <f t="shared" si="19"/>
        <v>103499</v>
      </c>
      <c r="L45" s="29">
        <v>14457.62</v>
      </c>
      <c r="M45" s="29"/>
      <c r="N45" s="84"/>
      <c r="O45" s="29">
        <v>25</v>
      </c>
      <c r="P45" s="84"/>
      <c r="Q45" s="89"/>
      <c r="R45" s="82">
        <f t="shared" si="20"/>
        <v>20983.620000000003</v>
      </c>
      <c r="S45" s="29">
        <f t="shared" si="21"/>
        <v>89016.38</v>
      </c>
    </row>
    <row r="46" spans="1:19" ht="37.15" customHeight="1" thickBot="1" x14ac:dyDescent="0.5">
      <c r="A46" s="25">
        <v>27</v>
      </c>
      <c r="B46" s="32">
        <v>44199</v>
      </c>
      <c r="C46" s="26">
        <v>45296</v>
      </c>
      <c r="D46" s="96" t="s">
        <v>29</v>
      </c>
      <c r="E46" s="90" t="s">
        <v>163</v>
      </c>
      <c r="F46" s="97" t="s">
        <v>164</v>
      </c>
      <c r="G46" s="27" t="s">
        <v>105</v>
      </c>
      <c r="H46" s="29">
        <v>90000</v>
      </c>
      <c r="I46" s="29">
        <f t="shared" si="18"/>
        <v>2583</v>
      </c>
      <c r="J46" s="29">
        <f t="shared" si="22"/>
        <v>2736</v>
      </c>
      <c r="K46" s="29">
        <f t="shared" si="19"/>
        <v>84681</v>
      </c>
      <c r="L46" s="29">
        <v>9324.25</v>
      </c>
      <c r="M46" s="29"/>
      <c r="N46" s="29">
        <v>1715.46</v>
      </c>
      <c r="O46" s="29">
        <v>25</v>
      </c>
      <c r="P46" s="84"/>
      <c r="Q46" s="89"/>
      <c r="R46" s="82">
        <f t="shared" si="20"/>
        <v>16383.71</v>
      </c>
      <c r="S46" s="29">
        <f t="shared" si="21"/>
        <v>73616.290000000008</v>
      </c>
    </row>
    <row r="47" spans="1:19" ht="37.15" customHeight="1" thickBot="1" x14ac:dyDescent="0.45">
      <c r="A47" s="25">
        <v>28</v>
      </c>
      <c r="B47" s="32" t="s">
        <v>51</v>
      </c>
      <c r="C47" s="32">
        <v>45296</v>
      </c>
      <c r="D47" s="26" t="s">
        <v>29</v>
      </c>
      <c r="E47" s="90" t="s">
        <v>165</v>
      </c>
      <c r="F47" s="86" t="s">
        <v>166</v>
      </c>
      <c r="G47" s="27" t="s">
        <v>105</v>
      </c>
      <c r="H47" s="29">
        <v>70000</v>
      </c>
      <c r="I47" s="29">
        <f t="shared" si="18"/>
        <v>2009</v>
      </c>
      <c r="J47" s="29">
        <f t="shared" si="22"/>
        <v>2128</v>
      </c>
      <c r="K47" s="29">
        <f t="shared" si="19"/>
        <v>65863</v>
      </c>
      <c r="L47" s="29">
        <v>5368.48</v>
      </c>
      <c r="M47" s="29">
        <v>0</v>
      </c>
      <c r="N47" s="84"/>
      <c r="O47" s="29">
        <v>25</v>
      </c>
      <c r="P47" s="29">
        <v>3351.29</v>
      </c>
      <c r="Q47" s="89"/>
      <c r="R47" s="82">
        <f t="shared" si="20"/>
        <v>12881.77</v>
      </c>
      <c r="S47" s="29">
        <f t="shared" si="21"/>
        <v>57118.229999999996</v>
      </c>
    </row>
    <row r="48" spans="1:19" ht="37.15" customHeight="1" thickBot="1" x14ac:dyDescent="0.45">
      <c r="A48" s="25">
        <v>29</v>
      </c>
      <c r="B48" s="32">
        <v>44207</v>
      </c>
      <c r="C48" s="32">
        <v>45294</v>
      </c>
      <c r="D48" s="26" t="s">
        <v>29</v>
      </c>
      <c r="E48" s="90" t="s">
        <v>167</v>
      </c>
      <c r="F48" s="86" t="s">
        <v>162</v>
      </c>
      <c r="G48" s="27" t="s">
        <v>105</v>
      </c>
      <c r="H48" s="29">
        <v>70000</v>
      </c>
      <c r="I48" s="29">
        <f t="shared" si="18"/>
        <v>2009</v>
      </c>
      <c r="J48" s="29">
        <f t="shared" si="22"/>
        <v>2128</v>
      </c>
      <c r="K48" s="29">
        <f t="shared" si="19"/>
        <v>65863</v>
      </c>
      <c r="L48" s="29">
        <v>5368.45</v>
      </c>
      <c r="M48" s="29"/>
      <c r="N48" s="84"/>
      <c r="O48" s="29">
        <v>25</v>
      </c>
      <c r="P48" s="84"/>
      <c r="Q48" s="89"/>
      <c r="R48" s="82">
        <f t="shared" si="20"/>
        <v>9530.4500000000007</v>
      </c>
      <c r="S48" s="29">
        <f t="shared" si="21"/>
        <v>60469.55</v>
      </c>
    </row>
    <row r="49" spans="1:19" ht="37.15" customHeight="1" thickBot="1" x14ac:dyDescent="0.5">
      <c r="A49" s="25">
        <v>30</v>
      </c>
      <c r="B49" s="32">
        <v>44621</v>
      </c>
      <c r="C49" s="32">
        <v>45357</v>
      </c>
      <c r="D49" s="26" t="s">
        <v>23</v>
      </c>
      <c r="E49" s="90" t="s">
        <v>168</v>
      </c>
      <c r="F49" s="86" t="s">
        <v>169</v>
      </c>
      <c r="G49" s="27" t="s">
        <v>105</v>
      </c>
      <c r="H49" s="29">
        <v>82000</v>
      </c>
      <c r="I49" s="29">
        <f t="shared" si="18"/>
        <v>2353.4</v>
      </c>
      <c r="J49" s="29">
        <f t="shared" si="22"/>
        <v>2492.8000000000002</v>
      </c>
      <c r="K49" s="29">
        <f t="shared" si="19"/>
        <v>77153.8</v>
      </c>
      <c r="L49" s="29">
        <v>7871.32</v>
      </c>
      <c r="M49" s="29">
        <v>0</v>
      </c>
      <c r="N49" s="84"/>
      <c r="O49" s="29">
        <v>25</v>
      </c>
      <c r="P49" s="84"/>
      <c r="Q49" s="89"/>
      <c r="R49" s="82">
        <f t="shared" si="20"/>
        <v>12742.52</v>
      </c>
      <c r="S49" s="29">
        <f t="shared" si="21"/>
        <v>69257.48</v>
      </c>
    </row>
    <row r="50" spans="1:19" ht="37.15" customHeight="1" thickBot="1" x14ac:dyDescent="0.45">
      <c r="A50" s="25">
        <v>31</v>
      </c>
      <c r="B50" s="32">
        <v>44621</v>
      </c>
      <c r="C50" s="32">
        <v>44997</v>
      </c>
      <c r="D50" s="26" t="s">
        <v>29</v>
      </c>
      <c r="E50" s="90" t="s">
        <v>170</v>
      </c>
      <c r="F50" s="86" t="s">
        <v>137</v>
      </c>
      <c r="G50" s="27" t="s">
        <v>105</v>
      </c>
      <c r="H50" s="29">
        <v>60000</v>
      </c>
      <c r="I50" s="29">
        <f t="shared" si="18"/>
        <v>1722</v>
      </c>
      <c r="J50" s="29">
        <f t="shared" si="22"/>
        <v>1824</v>
      </c>
      <c r="K50" s="29">
        <f t="shared" si="19"/>
        <v>56454</v>
      </c>
      <c r="L50" s="29">
        <f>3486.68-M50</f>
        <v>3486.68</v>
      </c>
      <c r="M50" s="29">
        <v>0</v>
      </c>
      <c r="N50" s="84"/>
      <c r="O50" s="29">
        <v>25</v>
      </c>
      <c r="P50" s="84"/>
      <c r="Q50" s="89"/>
      <c r="R50" s="82">
        <f t="shared" si="20"/>
        <v>7057.68</v>
      </c>
      <c r="S50" s="29">
        <f t="shared" si="21"/>
        <v>52942.32</v>
      </c>
    </row>
    <row r="51" spans="1:19" ht="37.15" customHeight="1" thickBot="1" x14ac:dyDescent="0.45">
      <c r="A51" s="25">
        <v>32</v>
      </c>
      <c r="B51" s="32">
        <v>44563</v>
      </c>
      <c r="C51" s="26">
        <v>45292</v>
      </c>
      <c r="D51" s="26" t="s">
        <v>29</v>
      </c>
      <c r="E51" s="90" t="s">
        <v>171</v>
      </c>
      <c r="F51" s="90" t="s">
        <v>137</v>
      </c>
      <c r="G51" s="27" t="s">
        <v>105</v>
      </c>
      <c r="H51" s="29">
        <v>60000</v>
      </c>
      <c r="I51" s="29">
        <f t="shared" si="18"/>
        <v>1722</v>
      </c>
      <c r="J51" s="29">
        <f t="shared" si="22"/>
        <v>1824</v>
      </c>
      <c r="K51" s="29">
        <f t="shared" si="19"/>
        <v>56454</v>
      </c>
      <c r="L51" s="29">
        <v>3486.68</v>
      </c>
      <c r="M51" s="29">
        <v>0</v>
      </c>
      <c r="N51" s="84"/>
      <c r="O51" s="29">
        <f>25</f>
        <v>25</v>
      </c>
      <c r="P51" s="84"/>
      <c r="Q51" s="89"/>
      <c r="R51" s="82">
        <f t="shared" si="20"/>
        <v>7057.68</v>
      </c>
      <c r="S51" s="29">
        <f t="shared" si="21"/>
        <v>52942.32</v>
      </c>
    </row>
    <row r="52" spans="1:19" ht="37.15" customHeight="1" thickBot="1" x14ac:dyDescent="0.45">
      <c r="A52" s="25">
        <v>33</v>
      </c>
      <c r="B52" s="26">
        <v>44564</v>
      </c>
      <c r="C52" s="39">
        <v>45297</v>
      </c>
      <c r="D52" s="26" t="s">
        <v>29</v>
      </c>
      <c r="E52" s="90" t="s">
        <v>172</v>
      </c>
      <c r="F52" s="90" t="s">
        <v>137</v>
      </c>
      <c r="G52" s="27" t="s">
        <v>105</v>
      </c>
      <c r="H52" s="29">
        <v>70000</v>
      </c>
      <c r="I52" s="29">
        <f t="shared" si="18"/>
        <v>2009</v>
      </c>
      <c r="J52" s="29">
        <f t="shared" si="22"/>
        <v>2128</v>
      </c>
      <c r="K52" s="29">
        <f t="shared" si="19"/>
        <v>65863</v>
      </c>
      <c r="L52" s="29">
        <v>5368.48</v>
      </c>
      <c r="M52" s="29"/>
      <c r="N52" s="84"/>
      <c r="O52" s="29">
        <v>25</v>
      </c>
      <c r="P52" s="84"/>
      <c r="Q52" s="89"/>
      <c r="R52" s="82">
        <f t="shared" si="20"/>
        <v>9530.48</v>
      </c>
      <c r="S52" s="29">
        <f t="shared" si="21"/>
        <v>60469.520000000004</v>
      </c>
    </row>
    <row r="53" spans="1:19" ht="37.15" customHeight="1" thickBot="1" x14ac:dyDescent="0.45">
      <c r="A53" s="25">
        <v>34</v>
      </c>
      <c r="B53" s="26">
        <v>44564</v>
      </c>
      <c r="C53" s="39">
        <v>45297</v>
      </c>
      <c r="D53" s="26" t="s">
        <v>29</v>
      </c>
      <c r="E53" s="90" t="s">
        <v>173</v>
      </c>
      <c r="F53" s="90" t="s">
        <v>137</v>
      </c>
      <c r="G53" s="27" t="s">
        <v>105</v>
      </c>
      <c r="H53" s="29">
        <v>50000</v>
      </c>
      <c r="I53" s="29">
        <f t="shared" si="18"/>
        <v>1435</v>
      </c>
      <c r="J53" s="29">
        <f t="shared" si="22"/>
        <v>1520</v>
      </c>
      <c r="K53" s="29">
        <f t="shared" si="19"/>
        <v>47045</v>
      </c>
      <c r="L53" s="29">
        <v>1854</v>
      </c>
      <c r="M53" s="29">
        <v>0</v>
      </c>
      <c r="N53" s="84"/>
      <c r="O53" s="29">
        <f>25</f>
        <v>25</v>
      </c>
      <c r="P53" s="84"/>
      <c r="Q53" s="89"/>
      <c r="R53" s="82">
        <f t="shared" si="20"/>
        <v>4834</v>
      </c>
      <c r="S53" s="29">
        <f t="shared" si="21"/>
        <v>45166</v>
      </c>
    </row>
    <row r="54" spans="1:19" ht="37.15" customHeight="1" thickBot="1" x14ac:dyDescent="0.5">
      <c r="A54" s="25">
        <v>35</v>
      </c>
      <c r="B54" s="26">
        <v>44566</v>
      </c>
      <c r="C54" s="39">
        <v>45295</v>
      </c>
      <c r="D54" s="26" t="s">
        <v>29</v>
      </c>
      <c r="E54" s="90" t="s">
        <v>174</v>
      </c>
      <c r="F54" s="90" t="s">
        <v>162</v>
      </c>
      <c r="G54" s="27" t="s">
        <v>105</v>
      </c>
      <c r="H54" s="29">
        <v>85000</v>
      </c>
      <c r="I54" s="29">
        <f t="shared" si="18"/>
        <v>2439.5</v>
      </c>
      <c r="J54" s="29">
        <f t="shared" si="22"/>
        <v>2584</v>
      </c>
      <c r="K54" s="29">
        <f t="shared" si="19"/>
        <v>79976.5</v>
      </c>
      <c r="L54" s="29">
        <v>8576.99</v>
      </c>
      <c r="M54" s="29"/>
      <c r="N54" s="84"/>
      <c r="O54" s="29">
        <v>25</v>
      </c>
      <c r="P54" s="84"/>
      <c r="Q54" s="89"/>
      <c r="R54" s="82">
        <f t="shared" si="20"/>
        <v>13625.49</v>
      </c>
      <c r="S54" s="29">
        <f t="shared" si="21"/>
        <v>71374.509999999995</v>
      </c>
    </row>
    <row r="55" spans="1:19" ht="37.15" customHeight="1" thickBot="1" x14ac:dyDescent="0.45">
      <c r="A55" s="25">
        <v>36</v>
      </c>
      <c r="B55" s="26">
        <v>44621</v>
      </c>
      <c r="C55" s="39">
        <v>45357</v>
      </c>
      <c r="D55" s="26" t="s">
        <v>23</v>
      </c>
      <c r="E55" s="50" t="s">
        <v>175</v>
      </c>
      <c r="F55" s="90" t="s">
        <v>176</v>
      </c>
      <c r="G55" s="27" t="s">
        <v>105</v>
      </c>
      <c r="H55" s="29">
        <v>60000</v>
      </c>
      <c r="I55" s="29">
        <f t="shared" si="18"/>
        <v>1722</v>
      </c>
      <c r="J55" s="29">
        <f t="shared" si="22"/>
        <v>1824</v>
      </c>
      <c r="K55" s="29">
        <f t="shared" si="19"/>
        <v>56454</v>
      </c>
      <c r="L55" s="29">
        <v>3846.68</v>
      </c>
      <c r="M55" s="29"/>
      <c r="N55" s="84"/>
      <c r="O55" s="29">
        <f>25</f>
        <v>25</v>
      </c>
      <c r="P55" s="84"/>
      <c r="Q55" s="89"/>
      <c r="R55" s="82">
        <f t="shared" si="20"/>
        <v>7417.68</v>
      </c>
      <c r="S55" s="29">
        <f t="shared" si="21"/>
        <v>52582.32</v>
      </c>
    </row>
    <row r="56" spans="1:19" ht="37.15" customHeight="1" thickBot="1" x14ac:dyDescent="0.45">
      <c r="A56" s="25">
        <v>37</v>
      </c>
      <c r="B56" s="26">
        <v>44936</v>
      </c>
      <c r="C56" s="39">
        <v>45295</v>
      </c>
      <c r="D56" s="26" t="s">
        <v>29</v>
      </c>
      <c r="E56" s="50" t="s">
        <v>177</v>
      </c>
      <c r="F56" s="90" t="s">
        <v>178</v>
      </c>
      <c r="G56" s="27" t="s">
        <v>105</v>
      </c>
      <c r="H56" s="29">
        <v>72000</v>
      </c>
      <c r="I56" s="29">
        <f t="shared" si="18"/>
        <v>2066.4</v>
      </c>
      <c r="J56" s="29">
        <f t="shared" si="22"/>
        <v>2188.8000000000002</v>
      </c>
      <c r="K56" s="29">
        <f t="shared" si="19"/>
        <v>67744.800000000003</v>
      </c>
      <c r="L56" s="29">
        <v>5744.84</v>
      </c>
      <c r="M56" s="29"/>
      <c r="N56" s="84"/>
      <c r="O56" s="29">
        <v>25</v>
      </c>
      <c r="P56" s="84"/>
      <c r="Q56" s="89"/>
      <c r="R56" s="82">
        <f t="shared" si="20"/>
        <v>10025.040000000001</v>
      </c>
      <c r="S56" s="29">
        <f t="shared" si="21"/>
        <v>61974.96</v>
      </c>
    </row>
    <row r="57" spans="1:19" ht="40.15" customHeight="1" thickBot="1" x14ac:dyDescent="0.5">
      <c r="A57" s="25"/>
      <c r="B57" s="148" t="s">
        <v>123</v>
      </c>
      <c r="C57" s="149"/>
      <c r="D57" s="149"/>
      <c r="E57" s="149"/>
      <c r="F57" s="150"/>
      <c r="G57" s="98"/>
      <c r="H57" s="85">
        <f>H43+H44+H45+H47+H46+H48+H49+H50+H51+H52+H53+H54+H55+H56</f>
        <v>1239000</v>
      </c>
      <c r="I57" s="85">
        <f t="shared" ref="I57:S57" si="23">I43+I44+I45+I47+I46+I48+I49+I50+I51+I52+I53+I54+I55+I56</f>
        <v>35559.300000000003</v>
      </c>
      <c r="J57" s="85">
        <f t="shared" si="23"/>
        <v>36708.76</v>
      </c>
      <c r="K57" s="85">
        <f t="shared" si="23"/>
        <v>1166731.9400000002</v>
      </c>
      <c r="L57" s="85">
        <f t="shared" si="23"/>
        <v>136889.84999999998</v>
      </c>
      <c r="M57" s="85">
        <f t="shared" si="23"/>
        <v>0</v>
      </c>
      <c r="N57" s="85">
        <f t="shared" si="23"/>
        <v>1715.46</v>
      </c>
      <c r="O57" s="85">
        <f t="shared" si="23"/>
        <v>350</v>
      </c>
      <c r="P57" s="85">
        <f t="shared" si="23"/>
        <v>3351.29</v>
      </c>
      <c r="Q57" s="85">
        <f t="shared" si="23"/>
        <v>0</v>
      </c>
      <c r="R57" s="85">
        <f t="shared" si="23"/>
        <v>214574.66</v>
      </c>
      <c r="S57" s="85">
        <f t="shared" si="23"/>
        <v>1024425.3399999999</v>
      </c>
    </row>
    <row r="58" spans="1:19" ht="48.6" customHeight="1" thickBot="1" x14ac:dyDescent="0.5">
      <c r="A58" s="25"/>
      <c r="B58" s="157" t="s">
        <v>179</v>
      </c>
      <c r="C58" s="158"/>
      <c r="D58" s="158"/>
      <c r="E58" s="159"/>
      <c r="F58" s="35"/>
      <c r="G58" s="98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84"/>
      <c r="S58" s="84"/>
    </row>
    <row r="59" spans="1:19" ht="40.15" customHeight="1" thickBot="1" x14ac:dyDescent="0.5">
      <c r="A59" s="25">
        <v>38</v>
      </c>
      <c r="B59" s="26">
        <v>44198</v>
      </c>
      <c r="C59" s="26">
        <v>45292</v>
      </c>
      <c r="D59" s="26" t="s">
        <v>29</v>
      </c>
      <c r="E59" s="90" t="s">
        <v>180</v>
      </c>
      <c r="F59" s="86" t="s">
        <v>181</v>
      </c>
      <c r="G59" s="100" t="s">
        <v>105</v>
      </c>
      <c r="H59" s="29">
        <v>150000</v>
      </c>
      <c r="I59" s="29">
        <f>H59*2.87%</f>
        <v>4305</v>
      </c>
      <c r="J59" s="82">
        <f>H59*3.04%</f>
        <v>4560</v>
      </c>
      <c r="K59" s="29">
        <f>H59-I59-J59</f>
        <v>141135</v>
      </c>
      <c r="L59" s="41">
        <v>23866.69</v>
      </c>
      <c r="M59" s="29"/>
      <c r="N59" s="29"/>
      <c r="O59" s="29">
        <v>25</v>
      </c>
      <c r="P59" s="29"/>
      <c r="Q59" s="82">
        <v>23866.62</v>
      </c>
      <c r="R59" s="82">
        <f>I59+J59+N59+O59+P59+L59-Q59</f>
        <v>8890.07</v>
      </c>
      <c r="S59" s="29">
        <f t="shared" ref="S59" si="24">H59-R59</f>
        <v>141109.93</v>
      </c>
    </row>
    <row r="60" spans="1:19" ht="40.15" customHeight="1" thickBot="1" x14ac:dyDescent="0.5">
      <c r="A60" s="25">
        <v>39</v>
      </c>
      <c r="B60" s="26">
        <v>44199</v>
      </c>
      <c r="C60" s="26">
        <v>45292</v>
      </c>
      <c r="D60" s="26" t="s">
        <v>29</v>
      </c>
      <c r="E60" s="90" t="s">
        <v>182</v>
      </c>
      <c r="F60" s="90" t="s">
        <v>183</v>
      </c>
      <c r="G60" s="100" t="s">
        <v>105</v>
      </c>
      <c r="H60" s="29">
        <v>80000</v>
      </c>
      <c r="I60" s="29">
        <f>H60*2.87%</f>
        <v>2296</v>
      </c>
      <c r="J60" s="82">
        <f>H60*3.04%</f>
        <v>2432</v>
      </c>
      <c r="K60" s="29">
        <f>H60-I60-J60</f>
        <v>75272</v>
      </c>
      <c r="L60" s="29">
        <v>7400.87</v>
      </c>
      <c r="M60" s="29">
        <v>0</v>
      </c>
      <c r="N60" s="29">
        <v>0</v>
      </c>
      <c r="O60" s="29">
        <v>25</v>
      </c>
      <c r="P60" s="29">
        <v>3351.29</v>
      </c>
      <c r="Q60" s="82"/>
      <c r="R60" s="82">
        <f>I60+J60+L60+N60+O60+P60</f>
        <v>15505.16</v>
      </c>
      <c r="S60" s="29">
        <f>H60-R60</f>
        <v>64494.84</v>
      </c>
    </row>
    <row r="61" spans="1:19" ht="40.15" customHeight="1" thickBot="1" x14ac:dyDescent="0.5">
      <c r="A61" s="25">
        <v>40</v>
      </c>
      <c r="B61" s="26" t="s">
        <v>22</v>
      </c>
      <c r="C61" s="26">
        <v>45292</v>
      </c>
      <c r="D61" s="26" t="s">
        <v>29</v>
      </c>
      <c r="E61" s="90" t="s">
        <v>184</v>
      </c>
      <c r="F61" s="90" t="s">
        <v>183</v>
      </c>
      <c r="G61" s="100" t="s">
        <v>105</v>
      </c>
      <c r="H61" s="29">
        <v>95000</v>
      </c>
      <c r="I61" s="29">
        <f>H61*2.87%</f>
        <v>2726.5</v>
      </c>
      <c r="J61" s="82">
        <f>H61*3.04%</f>
        <v>2888</v>
      </c>
      <c r="K61" s="29">
        <f>H61-I61-J61</f>
        <v>89385.5</v>
      </c>
      <c r="L61" s="29">
        <v>10534.88</v>
      </c>
      <c r="M61" s="29"/>
      <c r="N61" s="29">
        <v>1715.46</v>
      </c>
      <c r="O61" s="29">
        <v>25</v>
      </c>
      <c r="P61" s="29">
        <v>3351.29</v>
      </c>
      <c r="Q61" s="82"/>
      <c r="R61" s="82">
        <f>I61+J61+L61+N61+O61+P61</f>
        <v>21241.13</v>
      </c>
      <c r="S61" s="29">
        <f>H61-R61</f>
        <v>73758.87</v>
      </c>
    </row>
    <row r="62" spans="1:19" ht="48.6" customHeight="1" thickBot="1" x14ac:dyDescent="0.5">
      <c r="A62" s="25"/>
      <c r="B62" s="148" t="s">
        <v>123</v>
      </c>
      <c r="C62" s="149"/>
      <c r="D62" s="149"/>
      <c r="E62" s="149"/>
      <c r="F62" s="150"/>
      <c r="G62" s="40"/>
      <c r="H62" s="85">
        <f>H59+H60+H61</f>
        <v>325000</v>
      </c>
      <c r="I62" s="85">
        <f t="shared" ref="I62:S62" si="25">I59+I60+I61</f>
        <v>9327.5</v>
      </c>
      <c r="J62" s="85">
        <f t="shared" si="25"/>
        <v>9880</v>
      </c>
      <c r="K62" s="85">
        <f t="shared" si="25"/>
        <v>305792.5</v>
      </c>
      <c r="L62" s="85">
        <f t="shared" si="25"/>
        <v>41802.439999999995</v>
      </c>
      <c r="M62" s="85">
        <f t="shared" si="25"/>
        <v>0</v>
      </c>
      <c r="N62" s="85">
        <f t="shared" si="25"/>
        <v>1715.46</v>
      </c>
      <c r="O62" s="85">
        <f t="shared" si="25"/>
        <v>75</v>
      </c>
      <c r="P62" s="85">
        <f t="shared" si="25"/>
        <v>6702.58</v>
      </c>
      <c r="Q62" s="85">
        <f t="shared" si="25"/>
        <v>23866.62</v>
      </c>
      <c r="R62" s="85">
        <f t="shared" si="25"/>
        <v>45636.36</v>
      </c>
      <c r="S62" s="85">
        <f t="shared" si="25"/>
        <v>279363.64</v>
      </c>
    </row>
    <row r="63" spans="1:19" ht="48.6" customHeight="1" thickBot="1" x14ac:dyDescent="0.45">
      <c r="A63" s="101"/>
      <c r="B63" s="157" t="s">
        <v>185</v>
      </c>
      <c r="C63" s="158"/>
      <c r="D63" s="158"/>
      <c r="E63" s="158"/>
      <c r="F63" s="35"/>
      <c r="G63" s="102"/>
      <c r="H63" s="84"/>
      <c r="I63" s="84"/>
      <c r="J63" s="84"/>
      <c r="K63" s="84"/>
      <c r="L63" s="84"/>
      <c r="M63" s="84"/>
      <c r="N63" s="84"/>
      <c r="O63" s="84"/>
      <c r="P63" s="84"/>
      <c r="Q63" s="89"/>
      <c r="R63" s="89"/>
      <c r="S63" s="84"/>
    </row>
    <row r="64" spans="1:19" ht="36.6" customHeight="1" thickBot="1" x14ac:dyDescent="0.45">
      <c r="A64" s="101">
        <v>41</v>
      </c>
      <c r="B64" s="32" t="s">
        <v>186</v>
      </c>
      <c r="C64" s="32">
        <v>45292</v>
      </c>
      <c r="D64" s="26" t="s">
        <v>23</v>
      </c>
      <c r="E64" s="90" t="s">
        <v>187</v>
      </c>
      <c r="F64" s="86" t="s">
        <v>188</v>
      </c>
      <c r="G64" s="103" t="s">
        <v>105</v>
      </c>
      <c r="H64" s="29">
        <v>95000</v>
      </c>
      <c r="I64" s="29">
        <f>H64*2.87%</f>
        <v>2726.5</v>
      </c>
      <c r="J64" s="29">
        <f>H64*3.04%</f>
        <v>2888</v>
      </c>
      <c r="K64" s="29">
        <v>89385.5</v>
      </c>
      <c r="L64" s="29">
        <v>10929.24</v>
      </c>
      <c r="M64" s="29"/>
      <c r="N64" s="29"/>
      <c r="O64" s="29">
        <v>25</v>
      </c>
      <c r="P64" s="29"/>
      <c r="Q64" s="29"/>
      <c r="R64" s="29">
        <f>I64+J64+L64+N64+O64+P64</f>
        <v>16568.739999999998</v>
      </c>
      <c r="S64" s="29">
        <f>H64-R64</f>
        <v>78431.260000000009</v>
      </c>
    </row>
    <row r="65" spans="1:19" ht="36.6" customHeight="1" thickBot="1" x14ac:dyDescent="0.5">
      <c r="A65" s="101"/>
      <c r="B65" s="148" t="s">
        <v>38</v>
      </c>
      <c r="C65" s="149"/>
      <c r="D65" s="149"/>
      <c r="E65" s="149"/>
      <c r="F65" s="150"/>
      <c r="G65" s="102"/>
      <c r="H65" s="85">
        <f>H64</f>
        <v>95000</v>
      </c>
      <c r="I65" s="85">
        <f>I64</f>
        <v>2726.5</v>
      </c>
      <c r="J65" s="85">
        <f t="shared" ref="J65:Q65" si="26">J64</f>
        <v>2888</v>
      </c>
      <c r="K65" s="85">
        <f t="shared" si="26"/>
        <v>89385.5</v>
      </c>
      <c r="L65" s="85">
        <f>L64</f>
        <v>10929.24</v>
      </c>
      <c r="M65" s="85"/>
      <c r="N65" s="85">
        <f t="shared" si="26"/>
        <v>0</v>
      </c>
      <c r="O65" s="85">
        <f t="shared" si="26"/>
        <v>25</v>
      </c>
      <c r="P65" s="85">
        <f t="shared" si="26"/>
        <v>0</v>
      </c>
      <c r="Q65" s="85">
        <f t="shared" si="26"/>
        <v>0</v>
      </c>
      <c r="R65" s="85">
        <f>R64</f>
        <v>16568.739999999998</v>
      </c>
      <c r="S65" s="85">
        <f>S64</f>
        <v>78431.260000000009</v>
      </c>
    </row>
    <row r="66" spans="1:19" s="105" customFormat="1" ht="48.6" customHeight="1" thickBot="1" x14ac:dyDescent="0.45">
      <c r="A66" s="104"/>
      <c r="B66" s="157" t="s">
        <v>189</v>
      </c>
      <c r="C66" s="158"/>
      <c r="D66" s="158"/>
      <c r="E66" s="159"/>
      <c r="G66" s="106"/>
      <c r="H66" s="106"/>
      <c r="I66" s="106"/>
      <c r="J66" s="106"/>
      <c r="K66" s="106"/>
      <c r="L66" s="106"/>
      <c r="M66" s="107"/>
      <c r="N66" s="106"/>
      <c r="O66" s="106"/>
      <c r="P66" s="106"/>
      <c r="Q66" s="106"/>
      <c r="R66" s="106"/>
      <c r="S66" s="108"/>
    </row>
    <row r="67" spans="1:19" s="105" customFormat="1" ht="37.15" customHeight="1" thickBot="1" x14ac:dyDescent="0.45">
      <c r="A67" s="25">
        <v>42</v>
      </c>
      <c r="B67" s="32">
        <v>44198</v>
      </c>
      <c r="C67" s="32">
        <v>45292</v>
      </c>
      <c r="D67" s="26" t="s">
        <v>23</v>
      </c>
      <c r="E67" s="90" t="s">
        <v>190</v>
      </c>
      <c r="F67" s="86" t="s">
        <v>191</v>
      </c>
      <c r="G67" s="103" t="s">
        <v>105</v>
      </c>
      <c r="H67" s="29">
        <v>135000</v>
      </c>
      <c r="I67" s="29">
        <f>H67*2.87%</f>
        <v>3874.5</v>
      </c>
      <c r="J67" s="82">
        <f>H67*3.04%</f>
        <v>4104</v>
      </c>
      <c r="K67" s="29">
        <f>H67-I67-J67</f>
        <v>127021.5</v>
      </c>
      <c r="L67" s="41">
        <v>20338.310000000001</v>
      </c>
      <c r="M67" s="29"/>
      <c r="N67" s="109"/>
      <c r="O67" s="29">
        <v>25</v>
      </c>
      <c r="P67" s="29">
        <v>10195.77</v>
      </c>
      <c r="Q67" s="82">
        <v>20338.310000000001</v>
      </c>
      <c r="R67" s="82">
        <f>I67+J67+L67+N67+O67+P67-Q67</f>
        <v>18199.27</v>
      </c>
      <c r="S67" s="29">
        <f>H67-R67</f>
        <v>116800.73</v>
      </c>
    </row>
    <row r="68" spans="1:19" s="107" customFormat="1" ht="37.15" customHeight="1" thickBot="1" x14ac:dyDescent="0.45">
      <c r="A68" s="25">
        <v>43</v>
      </c>
      <c r="B68" s="32">
        <v>44198</v>
      </c>
      <c r="C68" s="32">
        <v>45292</v>
      </c>
      <c r="D68" s="26" t="s">
        <v>29</v>
      </c>
      <c r="E68" s="90" t="s">
        <v>192</v>
      </c>
      <c r="F68" s="86" t="s">
        <v>137</v>
      </c>
      <c r="G68" s="103" t="s">
        <v>105</v>
      </c>
      <c r="H68" s="29">
        <v>60000</v>
      </c>
      <c r="I68" s="29">
        <f>H68*2.87%</f>
        <v>1722</v>
      </c>
      <c r="J68" s="82">
        <f>H68*3.04%</f>
        <v>1824</v>
      </c>
      <c r="K68" s="29">
        <f>H68-I68-J68</f>
        <v>56454</v>
      </c>
      <c r="L68" s="41">
        <f>3486.65-M68</f>
        <v>3486.65</v>
      </c>
      <c r="M68" s="48">
        <v>0</v>
      </c>
      <c r="N68" s="109"/>
      <c r="O68" s="29">
        <v>25</v>
      </c>
      <c r="P68" s="29"/>
      <c r="Q68" s="82"/>
      <c r="R68" s="82">
        <f>I68+J68+L68+N68+O68+P68</f>
        <v>7057.65</v>
      </c>
      <c r="S68" s="29">
        <f>H68-R68</f>
        <v>52942.35</v>
      </c>
    </row>
    <row r="69" spans="1:19" s="107" customFormat="1" ht="48.6" customHeight="1" thickBot="1" x14ac:dyDescent="0.5">
      <c r="A69" s="105"/>
      <c r="B69" s="148" t="s">
        <v>38</v>
      </c>
      <c r="C69" s="149"/>
      <c r="D69" s="149"/>
      <c r="E69" s="149"/>
      <c r="F69" s="150"/>
      <c r="G69" s="110"/>
      <c r="H69" s="85">
        <f>H67+H68</f>
        <v>195000</v>
      </c>
      <c r="I69" s="85">
        <f t="shared" ref="I69:S69" si="27">I67+I68</f>
        <v>5596.5</v>
      </c>
      <c r="J69" s="85">
        <f t="shared" si="27"/>
        <v>5928</v>
      </c>
      <c r="K69" s="85">
        <f t="shared" si="27"/>
        <v>183475.5</v>
      </c>
      <c r="L69" s="85">
        <f t="shared" si="27"/>
        <v>23824.960000000003</v>
      </c>
      <c r="M69" s="85">
        <f t="shared" si="27"/>
        <v>0</v>
      </c>
      <c r="N69" s="85">
        <f t="shared" si="27"/>
        <v>0</v>
      </c>
      <c r="O69" s="85">
        <f t="shared" si="27"/>
        <v>50</v>
      </c>
      <c r="P69" s="85">
        <f t="shared" si="27"/>
        <v>10195.77</v>
      </c>
      <c r="Q69" s="85">
        <f t="shared" si="27"/>
        <v>20338.310000000001</v>
      </c>
      <c r="R69" s="85">
        <f t="shared" si="27"/>
        <v>25256.92</v>
      </c>
      <c r="S69" s="85">
        <f t="shared" si="27"/>
        <v>169743.08</v>
      </c>
    </row>
    <row r="70" spans="1:19" ht="48.6" customHeight="1" thickBot="1" x14ac:dyDescent="0.45">
      <c r="A70" s="25"/>
      <c r="B70" s="158" t="s">
        <v>193</v>
      </c>
      <c r="C70" s="158"/>
      <c r="D70" s="158"/>
      <c r="E70" s="158"/>
      <c r="F70" s="111"/>
      <c r="G70" s="40"/>
      <c r="H70" s="29"/>
      <c r="I70" s="29"/>
      <c r="J70" s="29"/>
      <c r="K70" s="29"/>
      <c r="L70" s="29"/>
      <c r="M70" s="29"/>
      <c r="N70" s="29"/>
      <c r="O70" s="29"/>
      <c r="P70" s="29"/>
      <c r="Q70" s="82"/>
      <c r="R70" s="82"/>
      <c r="S70" s="29"/>
    </row>
    <row r="71" spans="1:19" ht="35.450000000000003" customHeight="1" thickBot="1" x14ac:dyDescent="0.45">
      <c r="A71" s="25">
        <v>44</v>
      </c>
      <c r="B71" s="26">
        <v>44534</v>
      </c>
      <c r="C71" s="26">
        <v>45627</v>
      </c>
      <c r="D71" s="26" t="s">
        <v>23</v>
      </c>
      <c r="E71" s="90" t="s">
        <v>194</v>
      </c>
      <c r="F71" s="90" t="s">
        <v>195</v>
      </c>
      <c r="G71" s="39" t="s">
        <v>105</v>
      </c>
      <c r="H71" s="29">
        <v>140000</v>
      </c>
      <c r="I71" s="29">
        <f>H71*2.87%</f>
        <v>4018</v>
      </c>
      <c r="J71" s="29">
        <f>H71*3.04%</f>
        <v>4256</v>
      </c>
      <c r="K71" s="29">
        <f>H71-I71-J71</f>
        <v>131726</v>
      </c>
      <c r="L71" s="29">
        <v>21514.37</v>
      </c>
      <c r="M71" s="29"/>
      <c r="N71" s="29">
        <v>0</v>
      </c>
      <c r="O71" s="29">
        <v>25</v>
      </c>
      <c r="P71" s="84"/>
      <c r="Q71" s="82">
        <v>0</v>
      </c>
      <c r="R71" s="82">
        <f>I71+J71+L71+N71+O71+P71-Q71</f>
        <v>29813.37</v>
      </c>
      <c r="S71" s="29">
        <f>H71-R71</f>
        <v>110186.63</v>
      </c>
    </row>
    <row r="72" spans="1:19" ht="36.6" customHeight="1" thickBot="1" x14ac:dyDescent="0.45">
      <c r="A72" s="25">
        <v>45</v>
      </c>
      <c r="B72" s="26" t="s">
        <v>196</v>
      </c>
      <c r="C72" s="26" t="s">
        <v>197</v>
      </c>
      <c r="D72" s="26" t="s">
        <v>23</v>
      </c>
      <c r="E72" s="90" t="s">
        <v>198</v>
      </c>
      <c r="F72" s="90" t="s">
        <v>199</v>
      </c>
      <c r="G72" s="39" t="s">
        <v>105</v>
      </c>
      <c r="H72" s="29">
        <v>90000</v>
      </c>
      <c r="I72" s="29">
        <f>H72*2.87%</f>
        <v>2583</v>
      </c>
      <c r="J72" s="29">
        <f>H72*3.04%</f>
        <v>2736</v>
      </c>
      <c r="K72" s="29">
        <f>H72-I72-J72</f>
        <v>84681</v>
      </c>
      <c r="L72" s="29">
        <v>8964.39</v>
      </c>
      <c r="M72" s="29"/>
      <c r="N72" s="29">
        <f>1715.45*2</f>
        <v>3430.9</v>
      </c>
      <c r="O72" s="29">
        <v>25</v>
      </c>
      <c r="P72" s="84"/>
      <c r="Q72" s="89"/>
      <c r="R72" s="82">
        <f>I72+J72+L72+N72+O72+P72</f>
        <v>17739.29</v>
      </c>
      <c r="S72" s="29">
        <f>H72-R72</f>
        <v>72260.709999999992</v>
      </c>
    </row>
    <row r="73" spans="1:19" ht="36.6" customHeight="1" thickBot="1" x14ac:dyDescent="0.45">
      <c r="A73" s="25">
        <v>46</v>
      </c>
      <c r="B73" s="26">
        <v>44564</v>
      </c>
      <c r="C73" s="26">
        <v>45297</v>
      </c>
      <c r="D73" s="26" t="s">
        <v>23</v>
      </c>
      <c r="E73" s="90" t="s">
        <v>200</v>
      </c>
      <c r="F73" s="90" t="s">
        <v>201</v>
      </c>
      <c r="G73" s="39" t="s">
        <v>105</v>
      </c>
      <c r="H73" s="29">
        <v>50000</v>
      </c>
      <c r="I73" s="29">
        <f>H73*2.87%</f>
        <v>1435</v>
      </c>
      <c r="J73" s="29">
        <f>H73*3.04%</f>
        <v>1520</v>
      </c>
      <c r="K73" s="29">
        <f>H73-I73-J73</f>
        <v>47045</v>
      </c>
      <c r="L73" s="29">
        <v>1854</v>
      </c>
      <c r="M73" s="29">
        <v>0</v>
      </c>
      <c r="N73" s="29">
        <v>0</v>
      </c>
      <c r="O73" s="29">
        <v>25</v>
      </c>
      <c r="P73" s="84"/>
      <c r="Q73" s="89"/>
      <c r="R73" s="82">
        <f>I73+J73+L73+N73+O73+P73</f>
        <v>4834</v>
      </c>
      <c r="S73" s="29">
        <f>H73-R73</f>
        <v>45166</v>
      </c>
    </row>
    <row r="74" spans="1:19" ht="36.6" customHeight="1" thickBot="1" x14ac:dyDescent="0.5">
      <c r="A74" s="25">
        <v>47</v>
      </c>
      <c r="B74" s="26">
        <v>44565</v>
      </c>
      <c r="C74" s="26">
        <v>45294</v>
      </c>
      <c r="D74" s="26" t="s">
        <v>23</v>
      </c>
      <c r="E74" s="90" t="s">
        <v>202</v>
      </c>
      <c r="F74" s="90" t="s">
        <v>203</v>
      </c>
      <c r="G74" s="39" t="s">
        <v>105</v>
      </c>
      <c r="H74" s="29">
        <v>75000</v>
      </c>
      <c r="I74" s="29">
        <f>H74*2.87%</f>
        <v>2152.5</v>
      </c>
      <c r="J74" s="29">
        <f>H74*3.04%</f>
        <v>2280</v>
      </c>
      <c r="K74" s="29">
        <f>H74-I74-J74</f>
        <v>70567.5</v>
      </c>
      <c r="L74" s="29">
        <v>6309.3879999999999</v>
      </c>
      <c r="M74" s="29"/>
      <c r="N74" s="29">
        <v>0</v>
      </c>
      <c r="O74" s="29">
        <v>25</v>
      </c>
      <c r="P74" s="84"/>
      <c r="Q74" s="89"/>
      <c r="R74" s="82">
        <f>I74+J74+L74+N74+O74+P74</f>
        <v>10766.887999999999</v>
      </c>
      <c r="S74" s="29">
        <f>H74-R74</f>
        <v>64233.112000000001</v>
      </c>
    </row>
    <row r="75" spans="1:19" ht="48.6" customHeight="1" thickBot="1" x14ac:dyDescent="0.5">
      <c r="A75" s="111"/>
      <c r="B75" s="148" t="s">
        <v>123</v>
      </c>
      <c r="C75" s="149"/>
      <c r="D75" s="149"/>
      <c r="E75" s="149"/>
      <c r="F75" s="150"/>
      <c r="G75" s="34"/>
      <c r="H75" s="85">
        <f>H71+H72+H73+H74</f>
        <v>355000</v>
      </c>
      <c r="I75" s="85">
        <f t="shared" ref="I75:S75" si="28">I71+I72+I73+I74</f>
        <v>10188.5</v>
      </c>
      <c r="J75" s="85">
        <f t="shared" si="28"/>
        <v>10792</v>
      </c>
      <c r="K75" s="85">
        <f t="shared" si="28"/>
        <v>334019.5</v>
      </c>
      <c r="L75" s="85">
        <f t="shared" si="28"/>
        <v>38642.148000000001</v>
      </c>
      <c r="M75" s="85">
        <f t="shared" si="28"/>
        <v>0</v>
      </c>
      <c r="N75" s="85">
        <f t="shared" si="28"/>
        <v>3430.9</v>
      </c>
      <c r="O75" s="85">
        <f t="shared" si="28"/>
        <v>100</v>
      </c>
      <c r="P75" s="85">
        <f t="shared" si="28"/>
        <v>0</v>
      </c>
      <c r="Q75" s="85">
        <f t="shared" si="28"/>
        <v>0</v>
      </c>
      <c r="R75" s="85">
        <f t="shared" si="28"/>
        <v>63153.548000000003</v>
      </c>
      <c r="S75" s="85">
        <f t="shared" si="28"/>
        <v>291846.45199999999</v>
      </c>
    </row>
    <row r="76" spans="1:19" ht="48.6" customHeight="1" thickBot="1" x14ac:dyDescent="0.45">
      <c r="A76" s="111"/>
      <c r="B76" s="157" t="s">
        <v>204</v>
      </c>
      <c r="C76" s="168"/>
      <c r="D76" s="158"/>
      <c r="E76" s="159"/>
      <c r="F76" s="111"/>
      <c r="G76" s="34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84"/>
    </row>
    <row r="77" spans="1:19" ht="48" customHeight="1" thickBot="1" x14ac:dyDescent="0.45">
      <c r="A77" s="25">
        <v>48</v>
      </c>
      <c r="B77" s="32" t="s">
        <v>125</v>
      </c>
      <c r="C77" s="26">
        <v>45627</v>
      </c>
      <c r="D77" s="39" t="s">
        <v>29</v>
      </c>
      <c r="E77" s="90" t="s">
        <v>205</v>
      </c>
      <c r="F77" s="112" t="s">
        <v>206</v>
      </c>
      <c r="G77" s="39" t="s">
        <v>105</v>
      </c>
      <c r="H77" s="29">
        <v>245000</v>
      </c>
      <c r="I77" s="29">
        <f>H77*2.87%</f>
        <v>7031.5</v>
      </c>
      <c r="J77" s="29">
        <f>193525*3.04%</f>
        <v>5883.16</v>
      </c>
      <c r="K77" s="29">
        <f>H77-I77-J77</f>
        <v>232085.34</v>
      </c>
      <c r="L77" s="29">
        <v>46604.2</v>
      </c>
      <c r="M77" s="41"/>
      <c r="N77" s="84"/>
      <c r="O77" s="29">
        <v>25</v>
      </c>
      <c r="P77" s="99"/>
      <c r="Q77" s="84"/>
      <c r="R77" s="82">
        <f>I77+J77+L77+N77+O77+P77</f>
        <v>59543.86</v>
      </c>
      <c r="S77" s="29">
        <f>H77-R77</f>
        <v>185456.14</v>
      </c>
    </row>
    <row r="78" spans="1:19" ht="48.6" customHeight="1" thickBot="1" x14ac:dyDescent="0.45">
      <c r="A78" s="25">
        <v>49</v>
      </c>
      <c r="B78" s="32">
        <v>44936</v>
      </c>
      <c r="C78" s="26">
        <v>45295</v>
      </c>
      <c r="D78" s="39" t="s">
        <v>29</v>
      </c>
      <c r="E78" s="90" t="s">
        <v>207</v>
      </c>
      <c r="F78" s="112" t="s">
        <v>208</v>
      </c>
      <c r="G78" s="39" t="s">
        <v>105</v>
      </c>
      <c r="H78" s="29">
        <v>80000</v>
      </c>
      <c r="I78" s="29">
        <f>H78*2.87%</f>
        <v>2296</v>
      </c>
      <c r="J78" s="29">
        <f>H78*3.04%</f>
        <v>2432</v>
      </c>
      <c r="K78" s="29">
        <f t="shared" ref="K78:K81" si="29">H78-I78-J78</f>
        <v>75272</v>
      </c>
      <c r="L78" s="29">
        <f>7400.87-M78</f>
        <v>7400.87</v>
      </c>
      <c r="M78" s="41">
        <v>0</v>
      </c>
      <c r="N78" s="84"/>
      <c r="O78" s="29">
        <v>25</v>
      </c>
      <c r="P78" s="99"/>
      <c r="Q78" s="84"/>
      <c r="R78" s="82">
        <f>I78+J78+L78+N78+O78+P78</f>
        <v>12153.869999999999</v>
      </c>
      <c r="S78" s="29">
        <f>H78-R78</f>
        <v>67846.13</v>
      </c>
    </row>
    <row r="79" spans="1:19" ht="48.6" customHeight="1" thickBot="1" x14ac:dyDescent="0.5">
      <c r="A79" s="25">
        <v>50</v>
      </c>
      <c r="B79" s="32">
        <v>44572</v>
      </c>
      <c r="C79" s="26">
        <v>45627</v>
      </c>
      <c r="D79" s="39" t="s">
        <v>29</v>
      </c>
      <c r="E79" s="90" t="s">
        <v>209</v>
      </c>
      <c r="F79" s="112" t="s">
        <v>210</v>
      </c>
      <c r="G79" s="39" t="s">
        <v>105</v>
      </c>
      <c r="H79" s="29">
        <v>105000</v>
      </c>
      <c r="I79" s="29">
        <f t="shared" ref="I79:I81" si="30">H79*2.87%</f>
        <v>3013.5</v>
      </c>
      <c r="J79" s="29">
        <f t="shared" ref="J79:J81" si="31">H79*3.04%</f>
        <v>3192</v>
      </c>
      <c r="K79" s="29">
        <f t="shared" si="29"/>
        <v>98794.5</v>
      </c>
      <c r="L79" s="29">
        <v>13281.49</v>
      </c>
      <c r="M79" s="41"/>
      <c r="N79" s="84"/>
      <c r="O79" s="29">
        <v>25</v>
      </c>
      <c r="P79" s="99"/>
      <c r="Q79" s="84"/>
      <c r="R79" s="82">
        <f t="shared" ref="R79:R81" si="32">I79+J79+L79+N79+O79+P79</f>
        <v>19511.989999999998</v>
      </c>
      <c r="S79" s="29">
        <f t="shared" ref="S79:S81" si="33">H79-R79</f>
        <v>85488.010000000009</v>
      </c>
    </row>
    <row r="80" spans="1:19" ht="48" customHeight="1" thickBot="1" x14ac:dyDescent="0.5">
      <c r="A80" s="25">
        <v>51</v>
      </c>
      <c r="B80" s="32">
        <v>44572</v>
      </c>
      <c r="C80" s="26">
        <v>45627</v>
      </c>
      <c r="D80" s="39" t="s">
        <v>29</v>
      </c>
      <c r="E80" s="90" t="s">
        <v>211</v>
      </c>
      <c r="F80" s="112" t="s">
        <v>212</v>
      </c>
      <c r="G80" s="39" t="s">
        <v>105</v>
      </c>
      <c r="H80" s="29">
        <v>70000</v>
      </c>
      <c r="I80" s="29">
        <f t="shared" si="30"/>
        <v>2009</v>
      </c>
      <c r="J80" s="29">
        <f t="shared" si="31"/>
        <v>2128</v>
      </c>
      <c r="K80" s="29">
        <f t="shared" si="29"/>
        <v>65863</v>
      </c>
      <c r="L80" s="29">
        <v>5368.48</v>
      </c>
      <c r="M80" s="41">
        <v>0</v>
      </c>
      <c r="N80" s="84"/>
      <c r="O80" s="29">
        <v>25</v>
      </c>
      <c r="P80" s="99"/>
      <c r="Q80" s="84"/>
      <c r="R80" s="82">
        <f t="shared" si="32"/>
        <v>9530.48</v>
      </c>
      <c r="S80" s="29">
        <f t="shared" si="33"/>
        <v>60469.520000000004</v>
      </c>
    </row>
    <row r="81" spans="1:19" ht="48.6" customHeight="1" thickBot="1" x14ac:dyDescent="0.5">
      <c r="A81" s="25">
        <v>52</v>
      </c>
      <c r="B81" s="32">
        <v>44958</v>
      </c>
      <c r="C81" s="26">
        <v>45627</v>
      </c>
      <c r="D81" s="39" t="s">
        <v>23</v>
      </c>
      <c r="E81" s="90" t="s">
        <v>213</v>
      </c>
      <c r="F81" s="112" t="s">
        <v>214</v>
      </c>
      <c r="G81" s="39" t="s">
        <v>105</v>
      </c>
      <c r="H81" s="29">
        <v>95000</v>
      </c>
      <c r="I81" s="29">
        <f t="shared" si="30"/>
        <v>2726.5</v>
      </c>
      <c r="J81" s="29">
        <f t="shared" si="31"/>
        <v>2888</v>
      </c>
      <c r="K81" s="29">
        <f t="shared" si="29"/>
        <v>89385.5</v>
      </c>
      <c r="L81" s="29">
        <v>10929.24</v>
      </c>
      <c r="M81" s="41"/>
      <c r="N81" s="84"/>
      <c r="O81" s="29">
        <v>25</v>
      </c>
      <c r="P81" s="41">
        <v>0</v>
      </c>
      <c r="Q81" s="84"/>
      <c r="R81" s="82">
        <f t="shared" si="32"/>
        <v>16568.739999999998</v>
      </c>
      <c r="S81" s="29">
        <f t="shared" si="33"/>
        <v>78431.260000000009</v>
      </c>
    </row>
    <row r="82" spans="1:19" ht="48.6" customHeight="1" thickBot="1" x14ac:dyDescent="0.5">
      <c r="A82" s="25"/>
      <c r="B82" s="148" t="s">
        <v>123</v>
      </c>
      <c r="C82" s="149"/>
      <c r="D82" s="149"/>
      <c r="E82" s="149"/>
      <c r="F82" s="150"/>
      <c r="G82" s="84"/>
      <c r="H82" s="85">
        <f>H77+H78+H79+H80+H81</f>
        <v>595000</v>
      </c>
      <c r="I82" s="85">
        <f t="shared" ref="I82:S82" si="34">I77+I78+I79+I80+I81</f>
        <v>17076.5</v>
      </c>
      <c r="J82" s="85">
        <f t="shared" si="34"/>
        <v>16523.16</v>
      </c>
      <c r="K82" s="85">
        <f t="shared" si="34"/>
        <v>561400.34</v>
      </c>
      <c r="L82" s="85">
        <f>L77+L78+L79+L80+L81</f>
        <v>83584.28</v>
      </c>
      <c r="M82" s="85"/>
      <c r="N82" s="85">
        <f t="shared" si="34"/>
        <v>0</v>
      </c>
      <c r="O82" s="85">
        <f t="shared" si="34"/>
        <v>125</v>
      </c>
      <c r="P82" s="85">
        <f t="shared" si="34"/>
        <v>0</v>
      </c>
      <c r="Q82" s="85">
        <f t="shared" si="34"/>
        <v>0</v>
      </c>
      <c r="R82" s="85">
        <f t="shared" si="34"/>
        <v>117308.94</v>
      </c>
      <c r="S82" s="85">
        <f t="shared" si="34"/>
        <v>477691.06000000006</v>
      </c>
    </row>
    <row r="83" spans="1:19" ht="48.6" customHeight="1" thickBot="1" x14ac:dyDescent="0.45">
      <c r="A83" s="25"/>
      <c r="B83" s="157" t="s">
        <v>215</v>
      </c>
      <c r="C83" s="158"/>
      <c r="D83" s="158"/>
      <c r="E83" s="158"/>
      <c r="F83" s="35"/>
      <c r="G83" s="34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84"/>
    </row>
    <row r="84" spans="1:19" ht="36.6" customHeight="1" thickBot="1" x14ac:dyDescent="0.45">
      <c r="A84" s="25">
        <v>53</v>
      </c>
      <c r="B84" s="32">
        <v>43840</v>
      </c>
      <c r="C84" s="32">
        <v>45292</v>
      </c>
      <c r="D84" s="26" t="s">
        <v>23</v>
      </c>
      <c r="E84" s="90" t="s">
        <v>216</v>
      </c>
      <c r="F84" s="90" t="s">
        <v>217</v>
      </c>
      <c r="G84" s="39" t="s">
        <v>105</v>
      </c>
      <c r="H84" s="29">
        <v>250000</v>
      </c>
      <c r="I84" s="41">
        <f t="shared" ref="I84:I94" si="35">H84*2.87%</f>
        <v>7175</v>
      </c>
      <c r="J84" s="29">
        <f>193525*3.04%</f>
        <v>5883.16</v>
      </c>
      <c r="K84" s="41">
        <f t="shared" ref="K84:K94" si="36">H84-I84-J84</f>
        <v>236941.84</v>
      </c>
      <c r="L84" s="82">
        <v>47473.4</v>
      </c>
      <c r="M84" s="29"/>
      <c r="N84" s="29">
        <v>1715.46</v>
      </c>
      <c r="O84" s="29">
        <v>25</v>
      </c>
      <c r="P84" s="29"/>
      <c r="Q84" s="109">
        <v>0</v>
      </c>
      <c r="R84" s="82">
        <f>I84+J84+N84+O84+P84+L84-Q84</f>
        <v>62272.020000000004</v>
      </c>
      <c r="S84" s="29">
        <f>H84-R84</f>
        <v>187727.97999999998</v>
      </c>
    </row>
    <row r="85" spans="1:19" ht="36.6" customHeight="1" thickBot="1" x14ac:dyDescent="0.45">
      <c r="A85" s="25">
        <v>54</v>
      </c>
      <c r="B85" s="32" t="s">
        <v>218</v>
      </c>
      <c r="C85" s="32">
        <v>45292</v>
      </c>
      <c r="D85" s="26" t="s">
        <v>29</v>
      </c>
      <c r="E85" s="90" t="s">
        <v>219</v>
      </c>
      <c r="F85" s="90" t="s">
        <v>220</v>
      </c>
      <c r="G85" s="39" t="s">
        <v>105</v>
      </c>
      <c r="H85" s="29">
        <v>165000</v>
      </c>
      <c r="I85" s="41">
        <f t="shared" si="35"/>
        <v>4735.5</v>
      </c>
      <c r="J85" s="29">
        <f t="shared" ref="J85:J94" si="37">H85*3.04%</f>
        <v>5016</v>
      </c>
      <c r="K85" s="41">
        <f t="shared" si="36"/>
        <v>155248.5</v>
      </c>
      <c r="L85" s="82">
        <v>27394.99</v>
      </c>
      <c r="M85" s="29"/>
      <c r="N85" s="29"/>
      <c r="O85" s="29">
        <v>25</v>
      </c>
      <c r="P85" s="29"/>
      <c r="Q85" s="109"/>
      <c r="R85" s="82">
        <f t="shared" ref="R85:R94" si="38">I85+J85+L85+N85+O85+P85</f>
        <v>37171.490000000005</v>
      </c>
      <c r="S85" s="29">
        <f t="shared" ref="S85:S94" si="39">H85-R85</f>
        <v>127828.51</v>
      </c>
    </row>
    <row r="86" spans="1:19" ht="36" customHeight="1" thickBot="1" x14ac:dyDescent="0.5">
      <c r="A86" s="25">
        <v>55</v>
      </c>
      <c r="B86" s="32">
        <v>44200</v>
      </c>
      <c r="C86" s="32">
        <v>45292</v>
      </c>
      <c r="D86" s="26" t="s">
        <v>23</v>
      </c>
      <c r="E86" s="90" t="s">
        <v>221</v>
      </c>
      <c r="F86" s="112" t="s">
        <v>222</v>
      </c>
      <c r="G86" s="39" t="s">
        <v>105</v>
      </c>
      <c r="H86" s="29">
        <v>95000</v>
      </c>
      <c r="I86" s="41">
        <f t="shared" si="35"/>
        <v>2726.5</v>
      </c>
      <c r="J86" s="29">
        <f t="shared" si="37"/>
        <v>2888</v>
      </c>
      <c r="K86" s="41">
        <f t="shared" si="36"/>
        <v>89385.5</v>
      </c>
      <c r="L86" s="82">
        <v>10929.31</v>
      </c>
      <c r="M86" s="29"/>
      <c r="N86" s="29"/>
      <c r="O86" s="29">
        <v>25</v>
      </c>
      <c r="P86" s="29"/>
      <c r="Q86" s="109"/>
      <c r="R86" s="82">
        <f t="shared" si="38"/>
        <v>16568.809999999998</v>
      </c>
      <c r="S86" s="29">
        <f t="shared" si="39"/>
        <v>78431.19</v>
      </c>
    </row>
    <row r="87" spans="1:19" ht="37.15" customHeight="1" thickBot="1" x14ac:dyDescent="0.45">
      <c r="A87" s="25">
        <v>56</v>
      </c>
      <c r="B87" s="32">
        <v>44206</v>
      </c>
      <c r="C87" s="32">
        <v>45292</v>
      </c>
      <c r="D87" s="26" t="s">
        <v>29</v>
      </c>
      <c r="E87" s="90" t="s">
        <v>223</v>
      </c>
      <c r="F87" s="90" t="s">
        <v>137</v>
      </c>
      <c r="G87" s="39" t="s">
        <v>105</v>
      </c>
      <c r="H87" s="29">
        <v>75000</v>
      </c>
      <c r="I87" s="41">
        <f t="shared" si="35"/>
        <v>2152.5</v>
      </c>
      <c r="J87" s="29">
        <f t="shared" si="37"/>
        <v>2280</v>
      </c>
      <c r="K87" s="41">
        <f t="shared" si="36"/>
        <v>70567.5</v>
      </c>
      <c r="L87" s="82">
        <v>6309.38</v>
      </c>
      <c r="M87" s="29"/>
      <c r="N87" s="29"/>
      <c r="O87" s="29">
        <v>25</v>
      </c>
      <c r="P87" s="29"/>
      <c r="Q87" s="82">
        <v>6309.38</v>
      </c>
      <c r="R87" s="82">
        <f>I87+J87+L87+N87+O87+P87-Q87</f>
        <v>4457.5000000000009</v>
      </c>
      <c r="S87" s="29">
        <f>H87-R87</f>
        <v>70542.5</v>
      </c>
    </row>
    <row r="88" spans="1:19" ht="62.45" customHeight="1" thickBot="1" x14ac:dyDescent="0.45">
      <c r="A88" s="25">
        <v>57</v>
      </c>
      <c r="B88" s="32" t="s">
        <v>225</v>
      </c>
      <c r="C88" s="32" t="s">
        <v>258</v>
      </c>
      <c r="D88" s="26" t="s">
        <v>23</v>
      </c>
      <c r="E88" s="90" t="s">
        <v>226</v>
      </c>
      <c r="F88" s="113" t="s">
        <v>224</v>
      </c>
      <c r="G88" s="26" t="s">
        <v>105</v>
      </c>
      <c r="H88" s="29">
        <v>80000</v>
      </c>
      <c r="I88" s="41">
        <f t="shared" si="35"/>
        <v>2296</v>
      </c>
      <c r="J88" s="29">
        <f t="shared" si="37"/>
        <v>2432</v>
      </c>
      <c r="K88" s="29">
        <f t="shared" si="36"/>
        <v>75272</v>
      </c>
      <c r="L88" s="82">
        <v>7400.87</v>
      </c>
      <c r="M88" s="29"/>
      <c r="N88" s="29"/>
      <c r="O88" s="29">
        <v>25</v>
      </c>
      <c r="P88" s="29"/>
      <c r="Q88" s="82"/>
      <c r="R88" s="82">
        <f t="shared" si="38"/>
        <v>12153.869999999999</v>
      </c>
      <c r="S88" s="29">
        <f t="shared" si="39"/>
        <v>67846.13</v>
      </c>
    </row>
    <row r="89" spans="1:19" ht="48.6" customHeight="1" thickBot="1" x14ac:dyDescent="0.45">
      <c r="A89" s="25">
        <v>58</v>
      </c>
      <c r="B89" s="32">
        <v>44958</v>
      </c>
      <c r="C89" s="32">
        <v>45297</v>
      </c>
      <c r="D89" s="26" t="s">
        <v>29</v>
      </c>
      <c r="E89" s="90" t="s">
        <v>229</v>
      </c>
      <c r="F89" s="113" t="s">
        <v>228</v>
      </c>
      <c r="G89" s="26" t="s">
        <v>105</v>
      </c>
      <c r="H89" s="29">
        <v>70000</v>
      </c>
      <c r="I89" s="41">
        <f t="shared" si="35"/>
        <v>2009</v>
      </c>
      <c r="J89" s="29">
        <f t="shared" si="37"/>
        <v>2128</v>
      </c>
      <c r="K89" s="29">
        <f t="shared" si="36"/>
        <v>65863</v>
      </c>
      <c r="L89" s="41">
        <v>5368.48</v>
      </c>
      <c r="M89" s="29"/>
      <c r="N89" s="29"/>
      <c r="O89" s="29">
        <v>25</v>
      </c>
      <c r="P89" s="29"/>
      <c r="Q89" s="82"/>
      <c r="R89" s="82">
        <f t="shared" si="38"/>
        <v>9530.48</v>
      </c>
      <c r="S89" s="29">
        <f t="shared" si="39"/>
        <v>60469.520000000004</v>
      </c>
    </row>
    <row r="90" spans="1:19" ht="61.15" customHeight="1" thickBot="1" x14ac:dyDescent="0.45">
      <c r="A90" s="25">
        <v>59</v>
      </c>
      <c r="B90" s="32">
        <v>45023</v>
      </c>
      <c r="C90" s="32">
        <v>45297</v>
      </c>
      <c r="D90" s="26" t="s">
        <v>29</v>
      </c>
      <c r="E90" s="90" t="s">
        <v>230</v>
      </c>
      <c r="F90" s="113" t="s">
        <v>231</v>
      </c>
      <c r="G90" s="26" t="s">
        <v>105</v>
      </c>
      <c r="H90" s="29">
        <v>140000</v>
      </c>
      <c r="I90" s="41">
        <f t="shared" si="35"/>
        <v>4018</v>
      </c>
      <c r="J90" s="29">
        <f t="shared" si="37"/>
        <v>4256</v>
      </c>
      <c r="K90" s="29">
        <f t="shared" si="36"/>
        <v>131726</v>
      </c>
      <c r="L90" s="82">
        <v>21514.37</v>
      </c>
      <c r="M90" s="29"/>
      <c r="N90" s="29">
        <v>0</v>
      </c>
      <c r="O90" s="29">
        <v>25</v>
      </c>
      <c r="P90" s="29"/>
      <c r="Q90" s="82"/>
      <c r="R90" s="82">
        <f t="shared" si="38"/>
        <v>29813.37</v>
      </c>
      <c r="S90" s="29">
        <f t="shared" si="39"/>
        <v>110186.63</v>
      </c>
    </row>
    <row r="91" spans="1:19" ht="61.15" customHeight="1" thickBot="1" x14ac:dyDescent="0.5">
      <c r="A91" s="25">
        <v>60</v>
      </c>
      <c r="B91" s="32" t="s">
        <v>232</v>
      </c>
      <c r="C91" s="32">
        <v>45296</v>
      </c>
      <c r="D91" s="26" t="s">
        <v>29</v>
      </c>
      <c r="E91" s="90" t="s">
        <v>233</v>
      </c>
      <c r="F91" s="113" t="s">
        <v>234</v>
      </c>
      <c r="G91" s="26" t="s">
        <v>105</v>
      </c>
      <c r="H91" s="29">
        <v>75000</v>
      </c>
      <c r="I91" s="41">
        <f t="shared" si="35"/>
        <v>2152.5</v>
      </c>
      <c r="J91" s="29">
        <f t="shared" si="37"/>
        <v>2280</v>
      </c>
      <c r="K91" s="29">
        <f t="shared" si="36"/>
        <v>70567.5</v>
      </c>
      <c r="L91" s="41">
        <v>6309.38</v>
      </c>
      <c r="M91" s="29"/>
      <c r="N91" s="29">
        <v>0</v>
      </c>
      <c r="O91" s="29">
        <v>25</v>
      </c>
      <c r="P91" s="29"/>
      <c r="Q91" s="82"/>
      <c r="R91" s="82">
        <f t="shared" si="38"/>
        <v>10766.880000000001</v>
      </c>
      <c r="S91" s="29">
        <f t="shared" si="39"/>
        <v>64233.119999999995</v>
      </c>
    </row>
    <row r="92" spans="1:19" ht="61.15" customHeight="1" thickBot="1" x14ac:dyDescent="0.45">
      <c r="A92" s="25">
        <v>61</v>
      </c>
      <c r="B92" s="32" t="s">
        <v>263</v>
      </c>
      <c r="C92" s="32">
        <v>45300</v>
      </c>
      <c r="D92" s="26" t="s">
        <v>29</v>
      </c>
      <c r="E92" s="90" t="s">
        <v>264</v>
      </c>
      <c r="F92" s="113" t="s">
        <v>228</v>
      </c>
      <c r="G92" s="26" t="s">
        <v>105</v>
      </c>
      <c r="H92" s="29">
        <v>60000</v>
      </c>
      <c r="I92" s="41">
        <f t="shared" si="35"/>
        <v>1722</v>
      </c>
      <c r="J92" s="29">
        <f t="shared" si="37"/>
        <v>1824</v>
      </c>
      <c r="K92" s="29">
        <f t="shared" si="36"/>
        <v>56454</v>
      </c>
      <c r="L92" s="41">
        <v>3486.68</v>
      </c>
      <c r="M92" s="29"/>
      <c r="N92" s="29">
        <v>0</v>
      </c>
      <c r="O92" s="29">
        <v>25</v>
      </c>
      <c r="P92" s="29"/>
      <c r="Q92" s="82"/>
      <c r="R92" s="82">
        <f t="shared" si="38"/>
        <v>7057.68</v>
      </c>
      <c r="S92" s="29">
        <f t="shared" si="39"/>
        <v>52942.32</v>
      </c>
    </row>
    <row r="93" spans="1:19" ht="61.15" customHeight="1" thickBot="1" x14ac:dyDescent="0.5">
      <c r="A93" s="25">
        <v>62</v>
      </c>
      <c r="B93" s="32">
        <v>45294</v>
      </c>
      <c r="C93" s="32">
        <v>45300</v>
      </c>
      <c r="D93" s="26" t="s">
        <v>29</v>
      </c>
      <c r="E93" s="90" t="s">
        <v>268</v>
      </c>
      <c r="F93" s="113" t="s">
        <v>269</v>
      </c>
      <c r="G93" s="26" t="s">
        <v>105</v>
      </c>
      <c r="H93" s="29">
        <v>82000</v>
      </c>
      <c r="I93" s="41">
        <f t="shared" si="35"/>
        <v>2353.4</v>
      </c>
      <c r="J93" s="29">
        <f t="shared" si="37"/>
        <v>2492.8000000000002</v>
      </c>
      <c r="K93" s="29">
        <f t="shared" si="36"/>
        <v>77153.8</v>
      </c>
      <c r="L93" s="41">
        <v>5813.8</v>
      </c>
      <c r="M93" s="29"/>
      <c r="N93" s="29">
        <v>0</v>
      </c>
      <c r="O93" s="29">
        <v>25</v>
      </c>
      <c r="P93" s="29"/>
      <c r="Q93" s="82"/>
      <c r="R93" s="82">
        <f t="shared" si="38"/>
        <v>10685</v>
      </c>
      <c r="S93" s="29">
        <f t="shared" si="39"/>
        <v>71315</v>
      </c>
    </row>
    <row r="94" spans="1:19" ht="61.15" customHeight="1" thickBot="1" x14ac:dyDescent="0.5">
      <c r="A94" s="25">
        <v>63</v>
      </c>
      <c r="B94" s="32">
        <v>45294</v>
      </c>
      <c r="C94" s="32">
        <v>45300</v>
      </c>
      <c r="D94" s="26" t="s">
        <v>29</v>
      </c>
      <c r="E94" s="90" t="s">
        <v>270</v>
      </c>
      <c r="F94" s="113" t="s">
        <v>271</v>
      </c>
      <c r="G94" s="26" t="s">
        <v>105</v>
      </c>
      <c r="H94" s="29">
        <v>55000</v>
      </c>
      <c r="I94" s="41">
        <f t="shared" si="35"/>
        <v>1578.5</v>
      </c>
      <c r="J94" s="29">
        <f t="shared" si="37"/>
        <v>1672</v>
      </c>
      <c r="K94" s="29">
        <f t="shared" si="36"/>
        <v>51749.5</v>
      </c>
      <c r="L94" s="41">
        <v>3899.5000000000005</v>
      </c>
      <c r="M94" s="29"/>
      <c r="N94" s="29">
        <v>0</v>
      </c>
      <c r="O94" s="29">
        <v>25</v>
      </c>
      <c r="P94" s="29"/>
      <c r="Q94" s="82"/>
      <c r="R94" s="82">
        <f t="shared" si="38"/>
        <v>7175</v>
      </c>
      <c r="S94" s="29">
        <f t="shared" si="39"/>
        <v>47825</v>
      </c>
    </row>
    <row r="95" spans="1:19" ht="48.6" customHeight="1" thickBot="1" x14ac:dyDescent="0.5">
      <c r="A95" s="111"/>
      <c r="B95" s="148" t="s">
        <v>123</v>
      </c>
      <c r="C95" s="149"/>
      <c r="D95" s="149"/>
      <c r="E95" s="149"/>
      <c r="F95" s="149"/>
      <c r="G95" s="34"/>
      <c r="H95" s="85">
        <f>H84+H85+H86+H87+H88+H89+H90+H91+H92+H93+H94</f>
        <v>1147000</v>
      </c>
      <c r="I95" s="85">
        <f t="shared" ref="I95:S95" si="40">I84+I85+I86+I87+I88+I89+I90+I91+I92+I93+I94</f>
        <v>32918.9</v>
      </c>
      <c r="J95" s="85">
        <f t="shared" si="40"/>
        <v>33151.96</v>
      </c>
      <c r="K95" s="85">
        <f t="shared" si="40"/>
        <v>1080929.1400000001</v>
      </c>
      <c r="L95" s="85">
        <f t="shared" si="40"/>
        <v>145900.15999999997</v>
      </c>
      <c r="M95" s="85">
        <f t="shared" si="40"/>
        <v>0</v>
      </c>
      <c r="N95" s="85">
        <f t="shared" si="40"/>
        <v>1715.46</v>
      </c>
      <c r="O95" s="85">
        <f t="shared" si="40"/>
        <v>275</v>
      </c>
      <c r="P95" s="85">
        <f t="shared" si="40"/>
        <v>0</v>
      </c>
      <c r="Q95" s="85">
        <f t="shared" si="40"/>
        <v>6309.38</v>
      </c>
      <c r="R95" s="85">
        <f t="shared" si="40"/>
        <v>207652.1</v>
      </c>
      <c r="S95" s="85">
        <f t="shared" si="40"/>
        <v>939347.9</v>
      </c>
    </row>
    <row r="96" spans="1:19" ht="48.6" customHeight="1" thickBot="1" x14ac:dyDescent="0.45">
      <c r="A96" s="111"/>
      <c r="B96" s="157" t="s">
        <v>235</v>
      </c>
      <c r="C96" s="158"/>
      <c r="D96" s="158"/>
      <c r="E96" s="158"/>
      <c r="F96" s="35"/>
      <c r="G96" s="34"/>
      <c r="H96" s="84"/>
      <c r="I96" s="84"/>
      <c r="J96" s="84"/>
      <c r="K96" s="84"/>
      <c r="L96" s="84"/>
      <c r="M96" s="84"/>
      <c r="N96" s="84"/>
      <c r="O96" s="84"/>
      <c r="P96" s="84"/>
      <c r="Q96" s="89"/>
      <c r="R96" s="89"/>
      <c r="S96" s="84"/>
    </row>
    <row r="97" spans="1:19" ht="37.5" customHeight="1" thickBot="1" x14ac:dyDescent="0.45">
      <c r="A97" s="25">
        <v>64</v>
      </c>
      <c r="B97" s="26" t="s">
        <v>236</v>
      </c>
      <c r="C97" s="26">
        <v>45295</v>
      </c>
      <c r="D97" s="27" t="s">
        <v>29</v>
      </c>
      <c r="E97" s="28" t="s">
        <v>237</v>
      </c>
      <c r="F97" s="28" t="s">
        <v>238</v>
      </c>
      <c r="G97" s="27" t="s">
        <v>105</v>
      </c>
      <c r="H97" s="29">
        <v>115000</v>
      </c>
      <c r="I97" s="30">
        <f>+H97*2.87%</f>
        <v>3300.5</v>
      </c>
      <c r="J97" s="30">
        <f t="shared" ref="J97" si="41">H97*3.04%</f>
        <v>3496</v>
      </c>
      <c r="K97" s="30">
        <f>H97-I97-J97</f>
        <v>108203.5</v>
      </c>
      <c r="L97" s="51">
        <v>15633.74</v>
      </c>
      <c r="M97" s="51"/>
      <c r="N97" s="30"/>
      <c r="O97" s="30">
        <v>25</v>
      </c>
      <c r="P97" s="30"/>
      <c r="Q97" s="87">
        <v>15633.74</v>
      </c>
      <c r="R97" s="87">
        <f>I97+J97+L97+N97+O97+P97-Q97</f>
        <v>6821.4999999999982</v>
      </c>
      <c r="S97" s="30">
        <f>H97-R97</f>
        <v>108178.5</v>
      </c>
    </row>
    <row r="98" spans="1:19" ht="37.5" customHeight="1" thickBot="1" x14ac:dyDescent="0.5">
      <c r="A98" s="25"/>
      <c r="B98" s="32"/>
      <c r="C98" s="39"/>
      <c r="D98" s="100"/>
      <c r="E98" s="50"/>
      <c r="F98" s="28"/>
      <c r="G98" s="27"/>
      <c r="H98" s="114">
        <f>H97</f>
        <v>115000</v>
      </c>
      <c r="I98" s="114">
        <f>I97</f>
        <v>3300.5</v>
      </c>
      <c r="J98" s="114">
        <f>J97</f>
        <v>3496</v>
      </c>
      <c r="K98" s="114">
        <f t="shared" ref="K98:R98" si="42">K97</f>
        <v>108203.5</v>
      </c>
      <c r="L98" s="114">
        <f>L97</f>
        <v>15633.74</v>
      </c>
      <c r="M98" s="114"/>
      <c r="N98" s="114">
        <f t="shared" si="42"/>
        <v>0</v>
      </c>
      <c r="O98" s="114">
        <f t="shared" si="42"/>
        <v>25</v>
      </c>
      <c r="P98" s="114">
        <f t="shared" si="42"/>
        <v>0</v>
      </c>
      <c r="Q98" s="114">
        <f t="shared" si="42"/>
        <v>15633.74</v>
      </c>
      <c r="R98" s="115">
        <f t="shared" si="42"/>
        <v>6821.4999999999982</v>
      </c>
      <c r="S98" s="114">
        <f>S97</f>
        <v>108178.5</v>
      </c>
    </row>
    <row r="99" spans="1:19" ht="48.6" customHeight="1" thickBot="1" x14ac:dyDescent="0.45">
      <c r="A99" s="25"/>
      <c r="B99" s="157" t="s">
        <v>239</v>
      </c>
      <c r="C99" s="158"/>
      <c r="D99" s="158"/>
      <c r="E99" s="159"/>
      <c r="F99" s="28"/>
      <c r="G99" s="116"/>
      <c r="H99" s="117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9"/>
    </row>
    <row r="100" spans="1:19" ht="37.15" customHeight="1" thickBot="1" x14ac:dyDescent="0.45">
      <c r="A100" s="25">
        <v>65</v>
      </c>
      <c r="B100" s="26">
        <v>44113</v>
      </c>
      <c r="C100" s="26">
        <v>45292</v>
      </c>
      <c r="D100" s="27" t="s">
        <v>23</v>
      </c>
      <c r="E100" s="28" t="s">
        <v>240</v>
      </c>
      <c r="F100" s="28" t="s">
        <v>241</v>
      </c>
      <c r="G100" s="27" t="s">
        <v>105</v>
      </c>
      <c r="H100" s="48">
        <v>250000</v>
      </c>
      <c r="I100" s="49">
        <f t="shared" ref="I100:I108" si="43">+H100*2.87%</f>
        <v>7175</v>
      </c>
      <c r="J100" s="49">
        <f>193525*3.04%</f>
        <v>5883.16</v>
      </c>
      <c r="K100" s="49">
        <f t="shared" ref="K100:K108" si="44">H100-I100-J100</f>
        <v>236941.84</v>
      </c>
      <c r="L100" s="120">
        <v>47389.46</v>
      </c>
      <c r="M100" s="120"/>
      <c r="N100" s="49">
        <v>1715.46</v>
      </c>
      <c r="O100" s="49">
        <v>25</v>
      </c>
      <c r="P100" s="49">
        <v>0</v>
      </c>
      <c r="Q100" s="121"/>
      <c r="R100" s="121">
        <f>I100+J100+L100+P100+O100+N100</f>
        <v>62188.079999999994</v>
      </c>
      <c r="S100" s="49">
        <f>H100-R100</f>
        <v>187811.92</v>
      </c>
    </row>
    <row r="101" spans="1:19" ht="61.9" customHeight="1" thickBot="1" x14ac:dyDescent="0.5">
      <c r="A101" s="25">
        <v>66</v>
      </c>
      <c r="B101" s="26">
        <v>44621</v>
      </c>
      <c r="C101" s="26">
        <v>45297</v>
      </c>
      <c r="D101" s="27" t="s">
        <v>29</v>
      </c>
      <c r="E101" s="50" t="s">
        <v>242</v>
      </c>
      <c r="F101" s="122" t="s">
        <v>243</v>
      </c>
      <c r="G101" s="123" t="s">
        <v>105</v>
      </c>
      <c r="H101" s="29">
        <v>85000</v>
      </c>
      <c r="I101" s="29">
        <f t="shared" si="43"/>
        <v>2439.5</v>
      </c>
      <c r="J101" s="29">
        <f t="shared" ref="J101:J108" si="45">H101*3.04%</f>
        <v>2584</v>
      </c>
      <c r="K101" s="29">
        <f t="shared" si="44"/>
        <v>79976.5</v>
      </c>
      <c r="L101" s="51">
        <v>8576.99</v>
      </c>
      <c r="M101" s="51"/>
      <c r="N101" s="51"/>
      <c r="O101" s="51">
        <v>25</v>
      </c>
      <c r="P101" s="51">
        <v>0</v>
      </c>
      <c r="Q101" s="124"/>
      <c r="R101" s="121">
        <f t="shared" ref="R101:R108" si="46">I101+J101+L101+P101+O101+N101</f>
        <v>13625.49</v>
      </c>
      <c r="S101" s="49">
        <f t="shared" ref="S101:S108" si="47">H101-R101</f>
        <v>71374.509999999995</v>
      </c>
    </row>
    <row r="102" spans="1:19" ht="69" customHeight="1" thickBot="1" x14ac:dyDescent="0.5">
      <c r="A102" s="25">
        <v>67</v>
      </c>
      <c r="B102" s="26">
        <v>44958</v>
      </c>
      <c r="C102" s="26">
        <v>45292</v>
      </c>
      <c r="D102" s="27" t="s">
        <v>29</v>
      </c>
      <c r="E102" s="50" t="s">
        <v>244</v>
      </c>
      <c r="F102" s="122" t="s">
        <v>245</v>
      </c>
      <c r="G102" s="123" t="s">
        <v>105</v>
      </c>
      <c r="H102" s="29">
        <v>95000</v>
      </c>
      <c r="I102" s="29">
        <f t="shared" si="43"/>
        <v>2726.5</v>
      </c>
      <c r="J102" s="29">
        <f t="shared" si="45"/>
        <v>2888</v>
      </c>
      <c r="K102" s="29">
        <f t="shared" si="44"/>
        <v>89385.5</v>
      </c>
      <c r="L102" s="51">
        <v>10929.24</v>
      </c>
      <c r="M102" s="51"/>
      <c r="N102" s="51"/>
      <c r="O102" s="51">
        <v>25</v>
      </c>
      <c r="P102" s="51">
        <v>0</v>
      </c>
      <c r="Q102" s="124"/>
      <c r="R102" s="121">
        <f t="shared" si="46"/>
        <v>16568.739999999998</v>
      </c>
      <c r="S102" s="49">
        <f t="shared" si="47"/>
        <v>78431.260000000009</v>
      </c>
    </row>
    <row r="103" spans="1:19" ht="69" customHeight="1" thickBot="1" x14ac:dyDescent="0.5">
      <c r="A103" s="25">
        <v>68</v>
      </c>
      <c r="B103" s="26">
        <v>45294</v>
      </c>
      <c r="C103" s="26">
        <v>45300</v>
      </c>
      <c r="D103" s="27" t="s">
        <v>23</v>
      </c>
      <c r="E103" s="50" t="s">
        <v>272</v>
      </c>
      <c r="F103" s="122" t="s">
        <v>273</v>
      </c>
      <c r="G103" s="123" t="s">
        <v>105</v>
      </c>
      <c r="H103" s="29">
        <v>130000</v>
      </c>
      <c r="I103" s="29">
        <f t="shared" si="43"/>
        <v>3731</v>
      </c>
      <c r="J103" s="29">
        <f t="shared" si="45"/>
        <v>3952</v>
      </c>
      <c r="K103" s="29">
        <f t="shared" si="44"/>
        <v>122317</v>
      </c>
      <c r="L103" s="51">
        <v>19162.12</v>
      </c>
      <c r="M103" s="51"/>
      <c r="N103" s="51"/>
      <c r="O103" s="51">
        <v>25</v>
      </c>
      <c r="P103" s="51">
        <v>0</v>
      </c>
      <c r="Q103" s="124"/>
      <c r="R103" s="121">
        <f t="shared" si="46"/>
        <v>26870.12</v>
      </c>
      <c r="S103" s="49">
        <f t="shared" si="47"/>
        <v>103129.88</v>
      </c>
    </row>
    <row r="104" spans="1:19" ht="63.6" customHeight="1" thickBot="1" x14ac:dyDescent="0.45">
      <c r="A104" s="25">
        <v>69</v>
      </c>
      <c r="B104" s="26">
        <v>44958</v>
      </c>
      <c r="C104" s="26">
        <v>45293</v>
      </c>
      <c r="D104" s="27" t="s">
        <v>23</v>
      </c>
      <c r="E104" s="50" t="s">
        <v>246</v>
      </c>
      <c r="F104" s="122" t="s">
        <v>247</v>
      </c>
      <c r="G104" s="123" t="s">
        <v>105</v>
      </c>
      <c r="H104" s="29">
        <v>85000</v>
      </c>
      <c r="I104" s="29">
        <f t="shared" si="43"/>
        <v>2439.5</v>
      </c>
      <c r="J104" s="29">
        <f t="shared" si="45"/>
        <v>2584</v>
      </c>
      <c r="K104" s="29">
        <f t="shared" si="44"/>
        <v>79976.5</v>
      </c>
      <c r="L104" s="51">
        <v>8576.99</v>
      </c>
      <c r="M104" s="51"/>
      <c r="N104" s="51"/>
      <c r="O104" s="51">
        <v>25</v>
      </c>
      <c r="P104" s="51">
        <v>0</v>
      </c>
      <c r="Q104" s="124"/>
      <c r="R104" s="121">
        <f t="shared" si="46"/>
        <v>13625.49</v>
      </c>
      <c r="S104" s="49">
        <f t="shared" si="47"/>
        <v>71374.509999999995</v>
      </c>
    </row>
    <row r="105" spans="1:19" ht="63.6" customHeight="1" thickBot="1" x14ac:dyDescent="0.45">
      <c r="A105" s="25">
        <v>70</v>
      </c>
      <c r="B105" s="26">
        <v>44929</v>
      </c>
      <c r="C105" s="26">
        <v>45294</v>
      </c>
      <c r="D105" s="27" t="s">
        <v>29</v>
      </c>
      <c r="E105" s="50" t="s">
        <v>248</v>
      </c>
      <c r="F105" s="122" t="s">
        <v>247</v>
      </c>
      <c r="G105" s="123" t="s">
        <v>105</v>
      </c>
      <c r="H105" s="29">
        <v>85000</v>
      </c>
      <c r="I105" s="29">
        <f t="shared" si="43"/>
        <v>2439.5</v>
      </c>
      <c r="J105" s="29">
        <f t="shared" si="45"/>
        <v>2584</v>
      </c>
      <c r="K105" s="29">
        <f t="shared" si="44"/>
        <v>79976.5</v>
      </c>
      <c r="L105" s="51">
        <v>8576.99</v>
      </c>
      <c r="M105" s="51"/>
      <c r="N105" s="51"/>
      <c r="O105" s="51">
        <v>25</v>
      </c>
      <c r="P105" s="51">
        <v>0</v>
      </c>
      <c r="Q105" s="124"/>
      <c r="R105" s="121">
        <f t="shared" si="46"/>
        <v>13625.49</v>
      </c>
      <c r="S105" s="49">
        <f t="shared" si="47"/>
        <v>71374.509999999995</v>
      </c>
    </row>
    <row r="106" spans="1:19" ht="63.6" customHeight="1" thickBot="1" x14ac:dyDescent="0.45">
      <c r="A106" s="25">
        <v>71</v>
      </c>
      <c r="B106" s="26">
        <v>44932</v>
      </c>
      <c r="C106" s="26">
        <v>45297</v>
      </c>
      <c r="D106" s="27" t="s">
        <v>29</v>
      </c>
      <c r="E106" s="50" t="s">
        <v>249</v>
      </c>
      <c r="F106" s="122" t="s">
        <v>250</v>
      </c>
      <c r="G106" s="123" t="s">
        <v>105</v>
      </c>
      <c r="H106" s="29">
        <v>75000</v>
      </c>
      <c r="I106" s="29">
        <f t="shared" si="43"/>
        <v>2152.5</v>
      </c>
      <c r="J106" s="29">
        <f t="shared" si="45"/>
        <v>2280</v>
      </c>
      <c r="K106" s="29">
        <f t="shared" si="44"/>
        <v>70567.5</v>
      </c>
      <c r="L106" s="51">
        <v>6309.38</v>
      </c>
      <c r="M106" s="51"/>
      <c r="N106" s="51"/>
      <c r="O106" s="51">
        <v>25</v>
      </c>
      <c r="P106" s="51">
        <v>0</v>
      </c>
      <c r="Q106" s="124"/>
      <c r="R106" s="121">
        <f t="shared" si="46"/>
        <v>10766.880000000001</v>
      </c>
      <c r="S106" s="49">
        <f t="shared" si="47"/>
        <v>64233.119999999995</v>
      </c>
    </row>
    <row r="107" spans="1:19" ht="63.6" customHeight="1" thickBot="1" x14ac:dyDescent="0.5">
      <c r="A107" s="25">
        <v>72</v>
      </c>
      <c r="B107" s="26">
        <v>44932</v>
      </c>
      <c r="C107" s="26">
        <v>45297</v>
      </c>
      <c r="D107" s="27" t="s">
        <v>29</v>
      </c>
      <c r="E107" s="50" t="s">
        <v>251</v>
      </c>
      <c r="F107" s="122" t="s">
        <v>252</v>
      </c>
      <c r="G107" s="123" t="s">
        <v>105</v>
      </c>
      <c r="H107" s="29">
        <v>60000</v>
      </c>
      <c r="I107" s="29">
        <f t="shared" si="43"/>
        <v>1722</v>
      </c>
      <c r="J107" s="29">
        <f t="shared" si="45"/>
        <v>1824</v>
      </c>
      <c r="K107" s="29">
        <f t="shared" si="44"/>
        <v>56454</v>
      </c>
      <c r="L107" s="51">
        <v>3486.68</v>
      </c>
      <c r="M107" s="51"/>
      <c r="N107" s="51"/>
      <c r="O107" s="51">
        <v>25</v>
      </c>
      <c r="P107" s="51">
        <v>0</v>
      </c>
      <c r="Q107" s="124"/>
      <c r="R107" s="121">
        <f t="shared" si="46"/>
        <v>7057.68</v>
      </c>
      <c r="S107" s="49">
        <f t="shared" si="47"/>
        <v>52942.32</v>
      </c>
    </row>
    <row r="108" spans="1:19" ht="63.6" customHeight="1" thickBot="1" x14ac:dyDescent="0.5">
      <c r="A108" s="25">
        <v>73</v>
      </c>
      <c r="B108" s="26">
        <v>44937</v>
      </c>
      <c r="C108" s="26">
        <v>45296</v>
      </c>
      <c r="D108" s="27" t="s">
        <v>29</v>
      </c>
      <c r="E108" s="50" t="s">
        <v>253</v>
      </c>
      <c r="F108" s="122" t="s">
        <v>254</v>
      </c>
      <c r="G108" s="123" t="s">
        <v>105</v>
      </c>
      <c r="H108" s="29">
        <v>82000</v>
      </c>
      <c r="I108" s="29">
        <f t="shared" si="43"/>
        <v>2353.4</v>
      </c>
      <c r="J108" s="29">
        <f t="shared" si="45"/>
        <v>2492.8000000000002</v>
      </c>
      <c r="K108" s="29">
        <f t="shared" si="44"/>
        <v>77153.8</v>
      </c>
      <c r="L108" s="51">
        <v>7871.32</v>
      </c>
      <c r="M108" s="51"/>
      <c r="N108" s="51"/>
      <c r="O108" s="51">
        <v>25</v>
      </c>
      <c r="P108" s="51">
        <v>0</v>
      </c>
      <c r="Q108" s="124"/>
      <c r="R108" s="121">
        <f t="shared" si="46"/>
        <v>12742.52</v>
      </c>
      <c r="S108" s="49">
        <f t="shared" si="47"/>
        <v>69257.48</v>
      </c>
    </row>
    <row r="109" spans="1:19" ht="48.6" customHeight="1" thickBot="1" x14ac:dyDescent="0.5">
      <c r="A109" s="25"/>
      <c r="B109" s="148" t="s">
        <v>123</v>
      </c>
      <c r="C109" s="149"/>
      <c r="D109" s="149"/>
      <c r="E109" s="149"/>
      <c r="F109" s="150"/>
      <c r="G109" s="28"/>
      <c r="H109" s="85">
        <f>SUM(H100:H108)</f>
        <v>947000</v>
      </c>
      <c r="I109" s="85">
        <f t="shared" ref="I109:R109" si="48">SUM(I100:I108)</f>
        <v>27178.9</v>
      </c>
      <c r="J109" s="85">
        <f t="shared" si="48"/>
        <v>27071.96</v>
      </c>
      <c r="K109" s="85">
        <f t="shared" si="48"/>
        <v>892749.14</v>
      </c>
      <c r="L109" s="85">
        <f>SUM(L100:L108)</f>
        <v>120879.17000000001</v>
      </c>
      <c r="M109" s="85">
        <f t="shared" si="48"/>
        <v>0</v>
      </c>
      <c r="N109" s="85">
        <f t="shared" si="48"/>
        <v>1715.46</v>
      </c>
      <c r="O109" s="85">
        <f t="shared" si="48"/>
        <v>225</v>
      </c>
      <c r="P109" s="85">
        <f t="shared" si="48"/>
        <v>0</v>
      </c>
      <c r="Q109" s="85">
        <f t="shared" si="48"/>
        <v>0</v>
      </c>
      <c r="R109" s="85">
        <f t="shared" si="48"/>
        <v>177070.48999999996</v>
      </c>
      <c r="S109" s="85">
        <f>SUM(S100:S108)</f>
        <v>769929.50999999989</v>
      </c>
    </row>
    <row r="110" spans="1:19" ht="37.5" customHeight="1" thickBot="1" x14ac:dyDescent="0.45">
      <c r="A110" s="160"/>
      <c r="B110" s="162"/>
      <c r="C110" s="163"/>
      <c r="D110" s="163"/>
      <c r="E110" s="163"/>
      <c r="F110" s="164"/>
      <c r="G110" s="28"/>
      <c r="H110" s="29"/>
      <c r="I110" s="51"/>
      <c r="J110" s="51"/>
      <c r="K110" s="51"/>
      <c r="L110" s="51"/>
      <c r="M110" s="51"/>
      <c r="N110" s="51"/>
      <c r="O110" s="51"/>
      <c r="P110" s="51"/>
      <c r="Q110" s="124"/>
      <c r="R110" s="124"/>
      <c r="S110" s="51"/>
    </row>
    <row r="111" spans="1:19" ht="37.5" customHeight="1" thickBot="1" x14ac:dyDescent="0.45">
      <c r="A111" s="161"/>
      <c r="B111" s="165"/>
      <c r="C111" s="166"/>
      <c r="D111" s="166"/>
      <c r="E111" s="166"/>
      <c r="F111" s="167"/>
      <c r="G111" s="28"/>
      <c r="H111" s="29"/>
      <c r="I111" s="51"/>
      <c r="J111" s="51"/>
      <c r="K111" s="51"/>
      <c r="L111" s="51"/>
      <c r="M111" s="51"/>
      <c r="N111" s="51"/>
      <c r="O111" s="51"/>
      <c r="P111" s="51"/>
      <c r="Q111" s="124"/>
      <c r="R111" s="124"/>
      <c r="S111" s="51"/>
    </row>
    <row r="112" spans="1:19" ht="48.6" customHeight="1" thickBot="1" x14ac:dyDescent="0.5">
      <c r="A112" s="25"/>
      <c r="B112" s="148" t="s">
        <v>84</v>
      </c>
      <c r="C112" s="149"/>
      <c r="D112" s="149"/>
      <c r="E112" s="149"/>
      <c r="F112" s="150"/>
      <c r="G112" s="28"/>
      <c r="H112" s="85">
        <f>H17+H32+H41+H57+H62+H69+H75+H82+H95+H98+H109+H22+H65</f>
        <v>7704500</v>
      </c>
      <c r="I112" s="85">
        <f t="shared" ref="I112:S112" si="49">I17+I32+I41+I57+I62+I69+I75+I82+I95+I98+I109+I22+I65</f>
        <v>221119.15</v>
      </c>
      <c r="J112" s="85">
        <f t="shared" si="49"/>
        <v>223218.08</v>
      </c>
      <c r="K112" s="85">
        <f t="shared" si="49"/>
        <v>7260162.7699999996</v>
      </c>
      <c r="L112" s="85">
        <f t="shared" si="49"/>
        <v>993747.06800000009</v>
      </c>
      <c r="M112" s="85">
        <f t="shared" si="49"/>
        <v>0</v>
      </c>
      <c r="N112" s="85">
        <f t="shared" si="49"/>
        <v>12008.2</v>
      </c>
      <c r="O112" s="85">
        <f t="shared" si="49"/>
        <v>1825</v>
      </c>
      <c r="P112" s="85">
        <f t="shared" si="49"/>
        <v>29455.039999999997</v>
      </c>
      <c r="Q112" s="85">
        <f t="shared" si="49"/>
        <v>183534.9</v>
      </c>
      <c r="R112" s="85">
        <f t="shared" si="49"/>
        <v>1297837.6379999998</v>
      </c>
      <c r="S112" s="85">
        <f t="shared" si="49"/>
        <v>6406662.3619999997</v>
      </c>
    </row>
    <row r="113" spans="4:19" ht="37.5" customHeight="1" x14ac:dyDescent="0.35">
      <c r="D113" s="3"/>
      <c r="E113" s="5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58"/>
      <c r="Q113" s="58"/>
      <c r="R113" s="3"/>
      <c r="S113" s="57"/>
    </row>
    <row r="114" spans="4:19" ht="37.5" customHeight="1" x14ac:dyDescent="0.45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58"/>
      <c r="Q114" s="58"/>
      <c r="R114" s="3"/>
      <c r="S114" s="125"/>
    </row>
    <row r="115" spans="4:19" ht="37.5" customHeight="1" x14ac:dyDescent="0.4">
      <c r="D115" s="3"/>
      <c r="E115" s="11"/>
      <c r="F115" s="3"/>
      <c r="G115" s="11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26"/>
    </row>
    <row r="116" spans="4:19" ht="37.5" customHeight="1" x14ac:dyDescent="0.45">
      <c r="D116" s="3"/>
      <c r="F116" s="4" t="s">
        <v>85</v>
      </c>
      <c r="G116" s="3"/>
      <c r="H116" s="9"/>
      <c r="I116" s="140" t="s">
        <v>255</v>
      </c>
      <c r="J116" s="140"/>
      <c r="K116" s="140"/>
      <c r="L116" s="59"/>
      <c r="M116" s="59"/>
      <c r="N116" s="59"/>
      <c r="O116" s="59"/>
      <c r="P116" s="60"/>
      <c r="Q116" s="60"/>
      <c r="R116" s="3"/>
      <c r="S116" s="127"/>
    </row>
    <row r="117" spans="4:19" ht="37.5" customHeight="1" x14ac:dyDescent="0.4">
      <c r="D117" s="3"/>
      <c r="F117" s="4" t="s">
        <v>87</v>
      </c>
      <c r="G117" s="3"/>
      <c r="H117" s="3"/>
      <c r="I117" s="3"/>
      <c r="J117" s="4" t="s">
        <v>88</v>
      </c>
      <c r="K117" s="3"/>
      <c r="L117" s="3"/>
      <c r="M117" s="3"/>
      <c r="N117" s="3"/>
      <c r="O117" s="3"/>
      <c r="P117" s="60"/>
      <c r="Q117" s="60"/>
      <c r="R117" s="3"/>
      <c r="S117" s="128"/>
    </row>
    <row r="118" spans="4:19" ht="37.5" customHeight="1" x14ac:dyDescent="0.25">
      <c r="E118" s="63"/>
      <c r="F118" s="63"/>
      <c r="G118" s="129"/>
      <c r="H118" s="63"/>
      <c r="I118" s="64"/>
      <c r="J118" s="64"/>
      <c r="K118" s="64"/>
      <c r="L118" s="75"/>
      <c r="M118" s="75"/>
      <c r="N118" s="65"/>
      <c r="O118" s="66"/>
      <c r="P118" s="3"/>
      <c r="Q118" s="3"/>
      <c r="R118" s="3"/>
      <c r="S118" s="3"/>
    </row>
    <row r="119" spans="4:19" ht="37.5" customHeight="1" x14ac:dyDescent="0.4">
      <c r="D119" s="67"/>
      <c r="E119" s="68"/>
      <c r="F119" s="68"/>
      <c r="G119" s="130"/>
      <c r="H119" s="69"/>
    </row>
  </sheetData>
  <autoFilter ref="A10:S109" xr:uid="{5C7F64D7-568E-4F7F-82D6-22C834F135E8}"/>
  <mergeCells count="30">
    <mergeCell ref="B23:E23"/>
    <mergeCell ref="I9:J9"/>
    <mergeCell ref="K9:P9"/>
    <mergeCell ref="B17:F17"/>
    <mergeCell ref="B18:E18"/>
    <mergeCell ref="B22:F22"/>
    <mergeCell ref="B70:E70"/>
    <mergeCell ref="B32:F32"/>
    <mergeCell ref="B33:E33"/>
    <mergeCell ref="B41:F41"/>
    <mergeCell ref="B42:E42"/>
    <mergeCell ref="B57:F57"/>
    <mergeCell ref="B58:E58"/>
    <mergeCell ref="B62:F62"/>
    <mergeCell ref="B63:E63"/>
    <mergeCell ref="B65:F65"/>
    <mergeCell ref="B66:E66"/>
    <mergeCell ref="B69:F69"/>
    <mergeCell ref="A110:A111"/>
    <mergeCell ref="B110:F111"/>
    <mergeCell ref="B112:F112"/>
    <mergeCell ref="I116:K116"/>
    <mergeCell ref="B75:F75"/>
    <mergeCell ref="B76:E76"/>
    <mergeCell ref="B82:F82"/>
    <mergeCell ref="B83:E83"/>
    <mergeCell ref="B95:F95"/>
    <mergeCell ref="B96:E96"/>
    <mergeCell ref="B99:E99"/>
    <mergeCell ref="B109:F109"/>
  </mergeCells>
  <pageMargins left="0.25" right="0.25" top="0.75" bottom="0.75" header="0.3" footer="0.3"/>
  <pageSetup paperSize="5" scale="2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146B1-1032-403B-86CE-2F0857D21C37}">
  <sheetPr>
    <pageSetUpPr fitToPage="1"/>
  </sheetPr>
  <dimension ref="A1:Q64"/>
  <sheetViews>
    <sheetView showGridLines="0" topLeftCell="E1" zoomScale="40" zoomScaleNormal="40" zoomScaleSheetLayoutView="30" workbookViewId="0">
      <selection activeCell="G52" sqref="G52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5">
      <c r="C4" s="2"/>
      <c r="D4" s="2"/>
      <c r="E4" s="2"/>
      <c r="F4" s="2"/>
      <c r="G4" s="140" t="s">
        <v>0</v>
      </c>
      <c r="H4" s="140"/>
      <c r="I4" s="140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5">
      <c r="D5" s="5"/>
      <c r="E5" s="5"/>
      <c r="F5" s="5"/>
      <c r="G5" s="140" t="s">
        <v>1</v>
      </c>
      <c r="H5" s="140"/>
      <c r="I5" s="140"/>
      <c r="J5" s="5"/>
      <c r="K5" s="5"/>
      <c r="L5" s="5"/>
      <c r="M5" s="5"/>
      <c r="N5" s="5"/>
      <c r="O5" s="5"/>
      <c r="P5" s="5"/>
      <c r="Q5" s="3"/>
    </row>
    <row r="6" spans="1:17" ht="38.450000000000003" customHeight="1" x14ac:dyDescent="0.45">
      <c r="E6" s="6"/>
      <c r="F6" s="6"/>
      <c r="G6" s="140" t="s">
        <v>275</v>
      </c>
      <c r="H6" s="140"/>
      <c r="I6" s="140"/>
      <c r="J6" s="6"/>
      <c r="K6" s="6"/>
      <c r="L6" s="6"/>
      <c r="M6" s="6"/>
      <c r="N6" s="6"/>
      <c r="O6" s="6"/>
      <c r="P6" s="6"/>
      <c r="Q6" s="3"/>
    </row>
    <row r="7" spans="1:17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17" ht="43.15" customHeight="1" x14ac:dyDescent="0.45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17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17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17" ht="37.5" customHeight="1" thickBot="1" x14ac:dyDescent="0.45">
      <c r="C11" s="11"/>
      <c r="D11" s="12"/>
      <c r="E11" s="12"/>
      <c r="F11" s="12"/>
      <c r="G11" s="13" t="s">
        <v>2</v>
      </c>
      <c r="H11" s="141" t="s">
        <v>3</v>
      </c>
      <c r="I11" s="142"/>
      <c r="J11" s="141" t="s">
        <v>4</v>
      </c>
      <c r="K11" s="143"/>
      <c r="L11" s="143"/>
      <c r="M11" s="143"/>
      <c r="N11" s="143"/>
      <c r="O11" s="142"/>
      <c r="P11" s="12"/>
      <c r="Q11" s="14"/>
    </row>
    <row r="12" spans="1:17" ht="126" customHeight="1" thickBot="1" x14ac:dyDescent="0.3">
      <c r="A12" s="131" t="s">
        <v>5</v>
      </c>
      <c r="B12" s="131" t="s">
        <v>6</v>
      </c>
      <c r="C12" s="131" t="s">
        <v>7</v>
      </c>
      <c r="D12" s="131" t="s">
        <v>8</v>
      </c>
      <c r="E12" s="132" t="s">
        <v>9</v>
      </c>
      <c r="F12" s="132" t="s">
        <v>10</v>
      </c>
      <c r="G12" s="132" t="s">
        <v>11</v>
      </c>
      <c r="H12" s="133" t="s">
        <v>12</v>
      </c>
      <c r="I12" s="132" t="s">
        <v>13</v>
      </c>
      <c r="J12" s="132" t="s">
        <v>14</v>
      </c>
      <c r="K12" s="134" t="s">
        <v>15</v>
      </c>
      <c r="L12" s="135" t="s">
        <v>16</v>
      </c>
      <c r="M12" s="133" t="s">
        <v>17</v>
      </c>
      <c r="N12" s="131" t="s">
        <v>18</v>
      </c>
      <c r="O12" s="136" t="s">
        <v>4</v>
      </c>
      <c r="P12" s="132" t="s">
        <v>19</v>
      </c>
      <c r="Q12" s="137" t="s">
        <v>20</v>
      </c>
    </row>
    <row r="13" spans="1:17" ht="48.6" customHeight="1" thickBot="1" x14ac:dyDescent="0.3">
      <c r="B13" s="144" t="s">
        <v>21</v>
      </c>
      <c r="C13" s="145"/>
      <c r="D13" s="146"/>
      <c r="E13" s="20"/>
      <c r="F13" s="20"/>
      <c r="G13" s="20"/>
      <c r="H13" s="21"/>
      <c r="I13" s="20"/>
      <c r="J13" s="20"/>
      <c r="K13" s="20"/>
      <c r="L13" s="22"/>
      <c r="M13" s="21"/>
      <c r="N13" s="22"/>
      <c r="O13" s="23"/>
      <c r="P13" s="20"/>
      <c r="Q13" s="24"/>
    </row>
    <row r="14" spans="1:17" ht="37.5" customHeight="1" thickBot="1" x14ac:dyDescent="0.5">
      <c r="A14" s="25">
        <v>1</v>
      </c>
      <c r="B14" s="26" t="s">
        <v>22</v>
      </c>
      <c r="C14" s="27" t="s">
        <v>23</v>
      </c>
      <c r="D14" s="28" t="s">
        <v>24</v>
      </c>
      <c r="E14" s="28" t="s">
        <v>25</v>
      </c>
      <c r="F14" s="28" t="s">
        <v>26</v>
      </c>
      <c r="G14" s="29">
        <v>500000</v>
      </c>
      <c r="H14" s="30">
        <f>387050*2.87%</f>
        <v>11108.334999999999</v>
      </c>
      <c r="I14" s="30">
        <f>193525*3.04%</f>
        <v>5883.16</v>
      </c>
      <c r="J14" s="30">
        <f t="shared" ref="J14:J20" si="0">G14-H14-I14</f>
        <v>483008.505</v>
      </c>
      <c r="K14" s="30">
        <v>109334.99</v>
      </c>
      <c r="L14" s="30"/>
      <c r="M14" s="30"/>
      <c r="N14" s="30"/>
      <c r="O14" s="30">
        <v>25</v>
      </c>
      <c r="P14" s="30">
        <f>H14+I14+K14+O14</f>
        <v>126351.485</v>
      </c>
      <c r="Q14" s="30">
        <f>G14-P14</f>
        <v>373648.51500000001</v>
      </c>
    </row>
    <row r="15" spans="1:17" ht="37.5" customHeight="1" thickBot="1" x14ac:dyDescent="0.45">
      <c r="A15" s="25">
        <v>2</v>
      </c>
      <c r="B15" s="26" t="s">
        <v>22</v>
      </c>
      <c r="C15" s="27" t="s">
        <v>23</v>
      </c>
      <c r="D15" s="28" t="s">
        <v>27</v>
      </c>
      <c r="E15" s="28" t="s">
        <v>28</v>
      </c>
      <c r="F15" s="28" t="s">
        <v>26</v>
      </c>
      <c r="G15" s="29">
        <v>250000</v>
      </c>
      <c r="H15" s="30">
        <f t="shared" ref="H15:H20" si="1">+G15*2.87%</f>
        <v>7175</v>
      </c>
      <c r="I15" s="30">
        <f t="shared" ref="I15:I19" si="2">193525*3.04%</f>
        <v>5883.16</v>
      </c>
      <c r="J15" s="30">
        <f t="shared" si="0"/>
        <v>236941.84</v>
      </c>
      <c r="K15" s="30">
        <v>47818.33</v>
      </c>
      <c r="L15" s="30"/>
      <c r="M15" s="30"/>
      <c r="N15" s="30"/>
      <c r="O15" s="30">
        <v>25</v>
      </c>
      <c r="P15" s="30">
        <f t="shared" ref="P15:P18" si="3">H15+I15+K15+O15</f>
        <v>60901.490000000005</v>
      </c>
      <c r="Q15" s="30">
        <f t="shared" ref="Q15:Q20" si="4">G15-P15</f>
        <v>189098.51</v>
      </c>
    </row>
    <row r="16" spans="1:17" ht="55.15" customHeight="1" thickBot="1" x14ac:dyDescent="0.5">
      <c r="A16" s="25">
        <v>3</v>
      </c>
      <c r="B16" s="26">
        <v>44205</v>
      </c>
      <c r="C16" s="27" t="s">
        <v>29</v>
      </c>
      <c r="D16" s="28" t="s">
        <v>30</v>
      </c>
      <c r="E16" s="31" t="s">
        <v>31</v>
      </c>
      <c r="F16" s="28" t="s">
        <v>26</v>
      </c>
      <c r="G16" s="29">
        <v>110000</v>
      </c>
      <c r="H16" s="30">
        <f t="shared" si="1"/>
        <v>3157</v>
      </c>
      <c r="I16" s="30">
        <f>G16*3.04%</f>
        <v>3344</v>
      </c>
      <c r="J16" s="30">
        <f t="shared" si="0"/>
        <v>103499</v>
      </c>
      <c r="K16" s="30">
        <v>14457.62</v>
      </c>
      <c r="L16" s="30"/>
      <c r="M16" s="30"/>
      <c r="N16" s="30">
        <v>12035.77</v>
      </c>
      <c r="O16" s="30">
        <v>25</v>
      </c>
      <c r="P16" s="30">
        <f>H16+I16+K16+O16+N16</f>
        <v>33019.39</v>
      </c>
      <c r="Q16" s="30">
        <f>G16-P16</f>
        <v>76980.61</v>
      </c>
    </row>
    <row r="17" spans="1:17" ht="55.15" customHeight="1" thickBot="1" x14ac:dyDescent="0.5">
      <c r="A17" s="25">
        <v>4</v>
      </c>
      <c r="B17" s="26">
        <v>44205</v>
      </c>
      <c r="C17" s="27" t="s">
        <v>23</v>
      </c>
      <c r="D17" s="28" t="s">
        <v>32</v>
      </c>
      <c r="E17" s="31" t="s">
        <v>33</v>
      </c>
      <c r="F17" s="28" t="s">
        <v>26</v>
      </c>
      <c r="G17" s="29">
        <v>95000</v>
      </c>
      <c r="H17" s="30">
        <f t="shared" si="1"/>
        <v>2726.5</v>
      </c>
      <c r="I17" s="30">
        <f t="shared" ref="I17:I18" si="5">G17*3.04%</f>
        <v>2888</v>
      </c>
      <c r="J17" s="30">
        <f t="shared" si="0"/>
        <v>89385.5</v>
      </c>
      <c r="K17" s="30">
        <v>10929.31</v>
      </c>
      <c r="L17" s="30"/>
      <c r="M17" s="30"/>
      <c r="N17" s="30"/>
      <c r="O17" s="30">
        <v>25</v>
      </c>
      <c r="P17" s="30">
        <f t="shared" si="3"/>
        <v>16568.809999999998</v>
      </c>
      <c r="Q17" s="30">
        <f t="shared" si="4"/>
        <v>78431.19</v>
      </c>
    </row>
    <row r="18" spans="1:17" ht="55.15" customHeight="1" thickBot="1" x14ac:dyDescent="0.5">
      <c r="A18" s="25">
        <v>5</v>
      </c>
      <c r="B18" s="26">
        <v>44566</v>
      </c>
      <c r="C18" s="27" t="s">
        <v>29</v>
      </c>
      <c r="D18" s="28" t="s">
        <v>34</v>
      </c>
      <c r="E18" s="31" t="s">
        <v>35</v>
      </c>
      <c r="F18" s="28" t="s">
        <v>26</v>
      </c>
      <c r="G18" s="29">
        <v>95000</v>
      </c>
      <c r="H18" s="30">
        <f t="shared" si="1"/>
        <v>2726.5</v>
      </c>
      <c r="I18" s="30">
        <f t="shared" si="5"/>
        <v>2888</v>
      </c>
      <c r="J18" s="30">
        <f t="shared" si="0"/>
        <v>89385.5</v>
      </c>
      <c r="K18" s="30">
        <v>10929.31</v>
      </c>
      <c r="L18" s="30"/>
      <c r="M18" s="30"/>
      <c r="N18" s="30"/>
      <c r="O18" s="30">
        <v>25</v>
      </c>
      <c r="P18" s="30">
        <f t="shared" si="3"/>
        <v>16568.809999999998</v>
      </c>
      <c r="Q18" s="30">
        <f t="shared" si="4"/>
        <v>78431.19</v>
      </c>
    </row>
    <row r="19" spans="1:17" ht="66" customHeight="1" thickBot="1" x14ac:dyDescent="0.45">
      <c r="A19" s="25">
        <v>6</v>
      </c>
      <c r="B19" s="32">
        <v>44202</v>
      </c>
      <c r="C19" s="27" t="s">
        <v>23</v>
      </c>
      <c r="D19" s="28" t="s">
        <v>36</v>
      </c>
      <c r="E19" s="31" t="s">
        <v>37</v>
      </c>
      <c r="F19" s="28" t="s">
        <v>26</v>
      </c>
      <c r="G19" s="29">
        <v>200000</v>
      </c>
      <c r="H19" s="30">
        <f t="shared" si="1"/>
        <v>5740</v>
      </c>
      <c r="I19" s="30">
        <f t="shared" si="2"/>
        <v>5883.16</v>
      </c>
      <c r="J19" s="30">
        <f t="shared" si="0"/>
        <v>188376.84</v>
      </c>
      <c r="K19" s="30">
        <v>35248.21</v>
      </c>
      <c r="L19" s="30">
        <v>0</v>
      </c>
      <c r="M19" s="30">
        <v>1715.46</v>
      </c>
      <c r="N19" s="30">
        <v>17747.98</v>
      </c>
      <c r="O19" s="30">
        <v>25</v>
      </c>
      <c r="P19" s="30">
        <f>H19+I19+K19+O19+M19+N19</f>
        <v>66359.81</v>
      </c>
      <c r="Q19" s="30">
        <f t="shared" si="4"/>
        <v>133640.19</v>
      </c>
    </row>
    <row r="20" spans="1:17" ht="66" customHeight="1" thickBot="1" x14ac:dyDescent="0.5">
      <c r="A20" s="25">
        <v>7</v>
      </c>
      <c r="B20" s="32">
        <v>45293</v>
      </c>
      <c r="C20" s="27" t="s">
        <v>29</v>
      </c>
      <c r="D20" s="28" t="s">
        <v>261</v>
      </c>
      <c r="E20" s="31" t="s">
        <v>262</v>
      </c>
      <c r="F20" s="28" t="s">
        <v>26</v>
      </c>
      <c r="G20" s="29">
        <v>125000</v>
      </c>
      <c r="H20" s="30">
        <f t="shared" si="1"/>
        <v>3587.5</v>
      </c>
      <c r="I20" s="30">
        <f>G20*3.04%</f>
        <v>3800</v>
      </c>
      <c r="J20" s="30">
        <f t="shared" si="0"/>
        <v>117612.5</v>
      </c>
      <c r="K20" s="30">
        <v>17985.990000000002</v>
      </c>
      <c r="L20" s="30">
        <v>0</v>
      </c>
      <c r="M20" s="30">
        <v>0</v>
      </c>
      <c r="N20" s="30">
        <v>0</v>
      </c>
      <c r="O20" s="30">
        <v>25</v>
      </c>
      <c r="P20" s="30">
        <f>H20+I20+K20+O20+M20+N20</f>
        <v>25398.49</v>
      </c>
      <c r="Q20" s="30">
        <f t="shared" si="4"/>
        <v>99601.51</v>
      </c>
    </row>
    <row r="21" spans="1:17" ht="49.15" customHeight="1" thickBot="1" x14ac:dyDescent="0.5">
      <c r="A21" s="33"/>
      <c r="B21" s="148" t="s">
        <v>38</v>
      </c>
      <c r="C21" s="149"/>
      <c r="D21" s="149"/>
      <c r="E21" s="150"/>
      <c r="F21" s="36"/>
      <c r="G21" s="37">
        <f>SUM(G14:G20)</f>
        <v>1375000</v>
      </c>
      <c r="H21" s="37">
        <f t="shared" ref="H21:Q21" si="6">SUM(H14:H20)</f>
        <v>36220.834999999999</v>
      </c>
      <c r="I21" s="37">
        <f t="shared" si="6"/>
        <v>30569.48</v>
      </c>
      <c r="J21" s="37">
        <f t="shared" si="6"/>
        <v>1308209.6850000001</v>
      </c>
      <c r="K21" s="37">
        <f t="shared" si="6"/>
        <v>246703.75999999998</v>
      </c>
      <c r="L21" s="37">
        <f t="shared" si="6"/>
        <v>0</v>
      </c>
      <c r="M21" s="37">
        <f t="shared" si="6"/>
        <v>1715.46</v>
      </c>
      <c r="N21" s="37">
        <f t="shared" si="6"/>
        <v>29783.75</v>
      </c>
      <c r="O21" s="37">
        <f t="shared" si="6"/>
        <v>175</v>
      </c>
      <c r="P21" s="37">
        <f t="shared" si="6"/>
        <v>345168.28499999997</v>
      </c>
      <c r="Q21" s="37">
        <f t="shared" si="6"/>
        <v>1029831.7149999999</v>
      </c>
    </row>
    <row r="22" spans="1:17" ht="37.15" customHeight="1" thickBot="1" x14ac:dyDescent="0.5">
      <c r="A22" s="38"/>
      <c r="B22" s="39"/>
      <c r="C22" s="40"/>
      <c r="D22" s="40"/>
      <c r="E22" s="40"/>
      <c r="F22" s="40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3"/>
    </row>
    <row r="23" spans="1:17" ht="48.6" customHeight="1" thickBot="1" x14ac:dyDescent="0.45">
      <c r="A23" s="44"/>
      <c r="B23" s="45"/>
      <c r="C23" s="46" t="s">
        <v>39</v>
      </c>
      <c r="D23" s="47"/>
      <c r="E23" s="47"/>
      <c r="F23" s="47"/>
      <c r="G23" s="48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1:17" ht="37.5" customHeight="1" thickBot="1" x14ac:dyDescent="0.45">
      <c r="A24" s="25">
        <v>8</v>
      </c>
      <c r="B24" s="26" t="s">
        <v>22</v>
      </c>
      <c r="C24" s="27" t="s">
        <v>29</v>
      </c>
      <c r="D24" s="28" t="s">
        <v>40</v>
      </c>
      <c r="E24" s="28" t="s">
        <v>41</v>
      </c>
      <c r="F24" s="28" t="s">
        <v>26</v>
      </c>
      <c r="G24" s="29">
        <v>45000</v>
      </c>
      <c r="H24" s="30">
        <f t="shared" ref="H24:H48" si="7">+G24*2.87%</f>
        <v>1291.5</v>
      </c>
      <c r="I24" s="30">
        <f t="shared" ref="I24:I48" si="8">+G24*3.04%</f>
        <v>1368</v>
      </c>
      <c r="J24" s="30">
        <f t="shared" ref="J24:J48" si="9">G24-H24-I24</f>
        <v>42340.5</v>
      </c>
      <c r="K24" s="30">
        <v>1148.33</v>
      </c>
      <c r="L24" s="30"/>
      <c r="M24" s="30"/>
      <c r="N24" s="30"/>
      <c r="O24" s="30">
        <f>25</f>
        <v>25</v>
      </c>
      <c r="P24" s="30">
        <f t="shared" ref="P24:P48" si="10">H24+I24+K24+O24</f>
        <v>3832.83</v>
      </c>
      <c r="Q24" s="30">
        <f t="shared" ref="Q24:Q48" si="11">G24-P24</f>
        <v>41167.17</v>
      </c>
    </row>
    <row r="25" spans="1:17" ht="37.5" customHeight="1" thickBot="1" x14ac:dyDescent="0.5">
      <c r="A25" s="25">
        <v>9</v>
      </c>
      <c r="B25" s="26" t="s">
        <v>42</v>
      </c>
      <c r="C25" s="27" t="s">
        <v>23</v>
      </c>
      <c r="D25" s="28" t="s">
        <v>43</v>
      </c>
      <c r="E25" s="28" t="s">
        <v>44</v>
      </c>
      <c r="F25" s="28" t="s">
        <v>26</v>
      </c>
      <c r="G25" s="29">
        <v>30000</v>
      </c>
      <c r="H25" s="30">
        <f t="shared" si="7"/>
        <v>861</v>
      </c>
      <c r="I25" s="30">
        <f t="shared" si="8"/>
        <v>912</v>
      </c>
      <c r="J25" s="30">
        <f t="shared" si="9"/>
        <v>28227</v>
      </c>
      <c r="K25" s="30">
        <v>0</v>
      </c>
      <c r="L25" s="30"/>
      <c r="M25" s="30"/>
      <c r="N25" s="30"/>
      <c r="O25" s="30">
        <v>25</v>
      </c>
      <c r="P25" s="30">
        <f t="shared" si="10"/>
        <v>1798</v>
      </c>
      <c r="Q25" s="30">
        <f t="shared" si="11"/>
        <v>28202</v>
      </c>
    </row>
    <row r="26" spans="1:17" ht="37.5" customHeight="1" thickBot="1" x14ac:dyDescent="0.45">
      <c r="A26" s="25">
        <v>10</v>
      </c>
      <c r="B26" s="26" t="s">
        <v>42</v>
      </c>
      <c r="C26" s="27" t="s">
        <v>23</v>
      </c>
      <c r="D26" s="28" t="s">
        <v>45</v>
      </c>
      <c r="E26" s="28" t="s">
        <v>46</v>
      </c>
      <c r="F26" s="28" t="s">
        <v>26</v>
      </c>
      <c r="G26" s="29">
        <v>45000</v>
      </c>
      <c r="H26" s="30">
        <f t="shared" si="7"/>
        <v>1291.5</v>
      </c>
      <c r="I26" s="30">
        <f t="shared" si="8"/>
        <v>1368</v>
      </c>
      <c r="J26" s="30">
        <f t="shared" si="9"/>
        <v>42340.5</v>
      </c>
      <c r="K26" s="30">
        <v>1148.33</v>
      </c>
      <c r="L26" s="30"/>
      <c r="M26" s="30"/>
      <c r="N26" s="30"/>
      <c r="O26" s="30">
        <v>25</v>
      </c>
      <c r="P26" s="30">
        <f t="shared" si="10"/>
        <v>3832.83</v>
      </c>
      <c r="Q26" s="30">
        <f t="shared" si="11"/>
        <v>41167.17</v>
      </c>
    </row>
    <row r="27" spans="1:17" ht="37.5" customHeight="1" thickBot="1" x14ac:dyDescent="0.5">
      <c r="A27" s="25">
        <v>11</v>
      </c>
      <c r="B27" s="26">
        <v>43901</v>
      </c>
      <c r="C27" s="27" t="s">
        <v>29</v>
      </c>
      <c r="D27" s="50" t="s">
        <v>47</v>
      </c>
      <c r="E27" s="28" t="s">
        <v>48</v>
      </c>
      <c r="F27" s="28" t="s">
        <v>26</v>
      </c>
      <c r="G27" s="29">
        <v>45000</v>
      </c>
      <c r="H27" s="30">
        <f t="shared" si="7"/>
        <v>1291.5</v>
      </c>
      <c r="I27" s="29">
        <f t="shared" si="8"/>
        <v>1368</v>
      </c>
      <c r="J27" s="29">
        <f t="shared" si="9"/>
        <v>42340.5</v>
      </c>
      <c r="K27" s="51">
        <v>1148.33</v>
      </c>
      <c r="L27" s="51"/>
      <c r="M27" s="51"/>
      <c r="N27" s="51"/>
      <c r="O27" s="30">
        <f>25</f>
        <v>25</v>
      </c>
      <c r="P27" s="30">
        <f t="shared" si="10"/>
        <v>3832.83</v>
      </c>
      <c r="Q27" s="30">
        <f t="shared" si="11"/>
        <v>41167.17</v>
      </c>
    </row>
    <row r="28" spans="1:17" ht="37.5" customHeight="1" thickBot="1" x14ac:dyDescent="0.5">
      <c r="A28" s="25">
        <v>12</v>
      </c>
      <c r="B28" s="26">
        <v>43901</v>
      </c>
      <c r="C28" s="27" t="s">
        <v>23</v>
      </c>
      <c r="D28" s="50" t="s">
        <v>49</v>
      </c>
      <c r="E28" s="28" t="s">
        <v>50</v>
      </c>
      <c r="F28" s="28" t="s">
        <v>26</v>
      </c>
      <c r="G28" s="29">
        <v>60000</v>
      </c>
      <c r="H28" s="30">
        <f t="shared" si="7"/>
        <v>1722</v>
      </c>
      <c r="I28" s="29">
        <f t="shared" si="8"/>
        <v>1824</v>
      </c>
      <c r="J28" s="29">
        <f t="shared" si="9"/>
        <v>56454</v>
      </c>
      <c r="K28" s="51">
        <v>3486.65</v>
      </c>
      <c r="L28" s="51"/>
      <c r="M28" s="51"/>
      <c r="N28" s="51"/>
      <c r="O28" s="30">
        <f>25</f>
        <v>25</v>
      </c>
      <c r="P28" s="30">
        <f t="shared" si="10"/>
        <v>7057.65</v>
      </c>
      <c r="Q28" s="30">
        <f t="shared" si="11"/>
        <v>52942.35</v>
      </c>
    </row>
    <row r="29" spans="1:17" ht="37.5" customHeight="1" thickBot="1" x14ac:dyDescent="0.45">
      <c r="A29" s="25">
        <v>13</v>
      </c>
      <c r="B29" s="26" t="s">
        <v>51</v>
      </c>
      <c r="C29" s="27" t="s">
        <v>23</v>
      </c>
      <c r="D29" s="50" t="s">
        <v>52</v>
      </c>
      <c r="E29" s="50" t="s">
        <v>53</v>
      </c>
      <c r="F29" s="50" t="s">
        <v>26</v>
      </c>
      <c r="G29" s="29">
        <v>30000</v>
      </c>
      <c r="H29" s="30">
        <f t="shared" si="7"/>
        <v>861</v>
      </c>
      <c r="I29" s="29">
        <f t="shared" si="8"/>
        <v>912</v>
      </c>
      <c r="J29" s="29">
        <f t="shared" si="9"/>
        <v>28227</v>
      </c>
      <c r="K29" s="51">
        <v>0</v>
      </c>
      <c r="L29" s="51"/>
      <c r="M29" s="51"/>
      <c r="N29" s="51"/>
      <c r="O29" s="30">
        <v>25</v>
      </c>
      <c r="P29" s="30">
        <f t="shared" si="10"/>
        <v>1798</v>
      </c>
      <c r="Q29" s="30">
        <f t="shared" si="11"/>
        <v>28202</v>
      </c>
    </row>
    <row r="30" spans="1:17" ht="37.5" customHeight="1" thickBot="1" x14ac:dyDescent="0.5">
      <c r="A30" s="25">
        <v>14</v>
      </c>
      <c r="B30" s="32">
        <v>44204</v>
      </c>
      <c r="C30" s="27" t="s">
        <v>23</v>
      </c>
      <c r="D30" s="50" t="s">
        <v>54</v>
      </c>
      <c r="E30" s="50" t="s">
        <v>53</v>
      </c>
      <c r="F30" s="50" t="s">
        <v>26</v>
      </c>
      <c r="G30" s="29">
        <v>30000</v>
      </c>
      <c r="H30" s="30">
        <f t="shared" si="7"/>
        <v>861</v>
      </c>
      <c r="I30" s="29">
        <f t="shared" si="8"/>
        <v>912</v>
      </c>
      <c r="J30" s="29">
        <f t="shared" si="9"/>
        <v>28227</v>
      </c>
      <c r="K30" s="51">
        <v>0</v>
      </c>
      <c r="L30" s="51"/>
      <c r="M30" s="30"/>
      <c r="N30" s="30"/>
      <c r="O30" s="30">
        <v>25</v>
      </c>
      <c r="P30" s="30">
        <f t="shared" si="10"/>
        <v>1798</v>
      </c>
      <c r="Q30" s="30">
        <f t="shared" si="11"/>
        <v>28202</v>
      </c>
    </row>
    <row r="31" spans="1:17" ht="37.5" customHeight="1" thickBot="1" x14ac:dyDescent="0.5">
      <c r="A31" s="25">
        <v>15</v>
      </c>
      <c r="B31" s="32">
        <v>44205</v>
      </c>
      <c r="C31" s="27" t="s">
        <v>23</v>
      </c>
      <c r="D31" s="50" t="s">
        <v>55</v>
      </c>
      <c r="E31" s="50" t="s">
        <v>56</v>
      </c>
      <c r="F31" s="50" t="s">
        <v>26</v>
      </c>
      <c r="G31" s="29">
        <v>45000</v>
      </c>
      <c r="H31" s="30">
        <f t="shared" si="7"/>
        <v>1291.5</v>
      </c>
      <c r="I31" s="29">
        <f t="shared" si="8"/>
        <v>1368</v>
      </c>
      <c r="J31" s="29">
        <f t="shared" si="9"/>
        <v>42340.5</v>
      </c>
      <c r="K31" s="51">
        <v>1148.83</v>
      </c>
      <c r="L31" s="51"/>
      <c r="M31" s="30"/>
      <c r="N31" s="30"/>
      <c r="O31" s="30">
        <v>25</v>
      </c>
      <c r="P31" s="30">
        <f t="shared" si="10"/>
        <v>3833.33</v>
      </c>
      <c r="Q31" s="30">
        <f t="shared" si="11"/>
        <v>41166.67</v>
      </c>
    </row>
    <row r="32" spans="1:17" ht="37.5" customHeight="1" thickBot="1" x14ac:dyDescent="0.5">
      <c r="A32" s="25">
        <v>16</v>
      </c>
      <c r="B32" s="32">
        <v>44205</v>
      </c>
      <c r="C32" s="27" t="s">
        <v>29</v>
      </c>
      <c r="D32" s="50" t="s">
        <v>57</v>
      </c>
      <c r="E32" s="50" t="s">
        <v>58</v>
      </c>
      <c r="F32" s="50" t="s">
        <v>26</v>
      </c>
      <c r="G32" s="29">
        <v>30000</v>
      </c>
      <c r="H32" s="30">
        <f t="shared" si="7"/>
        <v>861</v>
      </c>
      <c r="I32" s="29">
        <f t="shared" si="8"/>
        <v>912</v>
      </c>
      <c r="J32" s="29">
        <f t="shared" si="9"/>
        <v>28227</v>
      </c>
      <c r="K32" s="51">
        <v>0</v>
      </c>
      <c r="L32" s="51"/>
      <c r="M32" s="30"/>
      <c r="N32" s="30"/>
      <c r="O32" s="30">
        <v>25</v>
      </c>
      <c r="P32" s="30">
        <f t="shared" si="10"/>
        <v>1798</v>
      </c>
      <c r="Q32" s="30">
        <f t="shared" si="11"/>
        <v>28202</v>
      </c>
    </row>
    <row r="33" spans="1:17" ht="37.5" customHeight="1" thickBot="1" x14ac:dyDescent="0.45">
      <c r="A33" s="25">
        <v>17</v>
      </c>
      <c r="B33" s="32" t="s">
        <v>59</v>
      </c>
      <c r="C33" s="27" t="s">
        <v>23</v>
      </c>
      <c r="D33" s="50" t="s">
        <v>60</v>
      </c>
      <c r="E33" s="50" t="s">
        <v>61</v>
      </c>
      <c r="F33" s="50" t="s">
        <v>26</v>
      </c>
      <c r="G33" s="29">
        <v>30000</v>
      </c>
      <c r="H33" s="30">
        <f t="shared" si="7"/>
        <v>861</v>
      </c>
      <c r="I33" s="29">
        <f t="shared" si="8"/>
        <v>912</v>
      </c>
      <c r="J33" s="29">
        <f t="shared" si="9"/>
        <v>28227</v>
      </c>
      <c r="K33" s="51">
        <v>0</v>
      </c>
      <c r="L33" s="51"/>
      <c r="M33" s="30"/>
      <c r="N33" s="30"/>
      <c r="O33" s="30">
        <v>25</v>
      </c>
      <c r="P33" s="30">
        <f t="shared" si="10"/>
        <v>1798</v>
      </c>
      <c r="Q33" s="30">
        <f t="shared" si="11"/>
        <v>28202</v>
      </c>
    </row>
    <row r="34" spans="1:17" ht="37.5" customHeight="1" thickBot="1" x14ac:dyDescent="0.45">
      <c r="A34" s="25">
        <v>18</v>
      </c>
      <c r="B34" s="32">
        <v>44206</v>
      </c>
      <c r="C34" s="27" t="s">
        <v>23</v>
      </c>
      <c r="D34" s="50" t="s">
        <v>62</v>
      </c>
      <c r="E34" s="50" t="s">
        <v>63</v>
      </c>
      <c r="F34" s="50" t="s">
        <v>26</v>
      </c>
      <c r="G34" s="29">
        <v>25000</v>
      </c>
      <c r="H34" s="30">
        <f t="shared" si="7"/>
        <v>717.5</v>
      </c>
      <c r="I34" s="29">
        <f t="shared" si="8"/>
        <v>760</v>
      </c>
      <c r="J34" s="29">
        <f t="shared" si="9"/>
        <v>23522.5</v>
      </c>
      <c r="K34" s="51">
        <v>0</v>
      </c>
      <c r="L34" s="51"/>
      <c r="M34" s="30"/>
      <c r="N34" s="30"/>
      <c r="O34" s="30">
        <v>25</v>
      </c>
      <c r="P34" s="30">
        <f t="shared" si="10"/>
        <v>1502.5</v>
      </c>
      <c r="Q34" s="30">
        <f t="shared" si="11"/>
        <v>23497.5</v>
      </c>
    </row>
    <row r="35" spans="1:17" ht="37.5" customHeight="1" thickBot="1" x14ac:dyDescent="0.45">
      <c r="A35" s="25">
        <v>19</v>
      </c>
      <c r="B35" s="32">
        <v>44206</v>
      </c>
      <c r="C35" s="27" t="s">
        <v>23</v>
      </c>
      <c r="D35" s="50" t="s">
        <v>64</v>
      </c>
      <c r="E35" s="50" t="s">
        <v>63</v>
      </c>
      <c r="F35" s="50" t="s">
        <v>26</v>
      </c>
      <c r="G35" s="29">
        <v>30000</v>
      </c>
      <c r="H35" s="30">
        <f t="shared" si="7"/>
        <v>861</v>
      </c>
      <c r="I35" s="29">
        <f t="shared" si="8"/>
        <v>912</v>
      </c>
      <c r="J35" s="29">
        <f t="shared" si="9"/>
        <v>28227</v>
      </c>
      <c r="K35" s="51">
        <v>0</v>
      </c>
      <c r="L35" s="51"/>
      <c r="M35" s="30"/>
      <c r="N35" s="30"/>
      <c r="O35" s="30">
        <v>25</v>
      </c>
      <c r="P35" s="30">
        <f t="shared" si="10"/>
        <v>1798</v>
      </c>
      <c r="Q35" s="30">
        <f t="shared" si="11"/>
        <v>28202</v>
      </c>
    </row>
    <row r="36" spans="1:17" ht="37.5" customHeight="1" thickBot="1" x14ac:dyDescent="0.45">
      <c r="A36" s="25">
        <v>20</v>
      </c>
      <c r="B36" s="32">
        <v>44206</v>
      </c>
      <c r="C36" s="27" t="s">
        <v>23</v>
      </c>
      <c r="D36" s="50" t="s">
        <v>65</v>
      </c>
      <c r="E36" s="50" t="s">
        <v>66</v>
      </c>
      <c r="F36" s="50" t="s">
        <v>26</v>
      </c>
      <c r="G36" s="29">
        <v>30000</v>
      </c>
      <c r="H36" s="30">
        <f t="shared" si="7"/>
        <v>861</v>
      </c>
      <c r="I36" s="29">
        <f t="shared" si="8"/>
        <v>912</v>
      </c>
      <c r="J36" s="29">
        <f t="shared" si="9"/>
        <v>28227</v>
      </c>
      <c r="K36" s="51">
        <v>0</v>
      </c>
      <c r="L36" s="51"/>
      <c r="M36" s="30"/>
      <c r="N36" s="30"/>
      <c r="O36" s="30">
        <f>25</f>
        <v>25</v>
      </c>
      <c r="P36" s="30">
        <f t="shared" si="10"/>
        <v>1798</v>
      </c>
      <c r="Q36" s="30">
        <f t="shared" si="11"/>
        <v>28202</v>
      </c>
    </row>
    <row r="37" spans="1:17" ht="37.5" customHeight="1" thickBot="1" x14ac:dyDescent="0.45">
      <c r="A37" s="25">
        <v>21</v>
      </c>
      <c r="B37" s="32">
        <v>44206</v>
      </c>
      <c r="C37" s="27" t="s">
        <v>29</v>
      </c>
      <c r="D37" s="50" t="s">
        <v>67</v>
      </c>
      <c r="E37" s="50" t="s">
        <v>58</v>
      </c>
      <c r="F37" s="50" t="s">
        <v>26</v>
      </c>
      <c r="G37" s="29">
        <v>30000</v>
      </c>
      <c r="H37" s="30">
        <f t="shared" si="7"/>
        <v>861</v>
      </c>
      <c r="I37" s="29">
        <f t="shared" si="8"/>
        <v>912</v>
      </c>
      <c r="J37" s="29">
        <f t="shared" si="9"/>
        <v>28227</v>
      </c>
      <c r="K37" s="51">
        <v>0</v>
      </c>
      <c r="L37" s="51"/>
      <c r="M37" s="30"/>
      <c r="N37" s="30"/>
      <c r="O37" s="30">
        <v>25</v>
      </c>
      <c r="P37" s="30">
        <f t="shared" si="10"/>
        <v>1798</v>
      </c>
      <c r="Q37" s="30">
        <f t="shared" si="11"/>
        <v>28202</v>
      </c>
    </row>
    <row r="38" spans="1:17" ht="37.5" customHeight="1" thickBot="1" x14ac:dyDescent="0.45">
      <c r="A38" s="25">
        <v>22</v>
      </c>
      <c r="B38" s="32">
        <v>44206</v>
      </c>
      <c r="C38" s="27" t="s">
        <v>23</v>
      </c>
      <c r="D38" s="50" t="s">
        <v>68</v>
      </c>
      <c r="E38" s="50" t="s">
        <v>69</v>
      </c>
      <c r="F38" s="50" t="s">
        <v>26</v>
      </c>
      <c r="G38" s="29">
        <v>30000</v>
      </c>
      <c r="H38" s="30">
        <f t="shared" si="7"/>
        <v>861</v>
      </c>
      <c r="I38" s="29">
        <f t="shared" si="8"/>
        <v>912</v>
      </c>
      <c r="J38" s="29">
        <f t="shared" si="9"/>
        <v>28227</v>
      </c>
      <c r="K38" s="51">
        <v>0</v>
      </c>
      <c r="L38" s="51"/>
      <c r="M38" s="30"/>
      <c r="N38" s="30"/>
      <c r="O38" s="30">
        <v>25</v>
      </c>
      <c r="P38" s="30">
        <f t="shared" si="10"/>
        <v>1798</v>
      </c>
      <c r="Q38" s="30">
        <f t="shared" si="11"/>
        <v>28202</v>
      </c>
    </row>
    <row r="39" spans="1:17" ht="37.5" customHeight="1" thickBot="1" x14ac:dyDescent="0.45">
      <c r="A39" s="25">
        <v>23</v>
      </c>
      <c r="B39" s="32">
        <v>44206</v>
      </c>
      <c r="C39" s="27" t="s">
        <v>29</v>
      </c>
      <c r="D39" s="50" t="s">
        <v>70</v>
      </c>
      <c r="E39" s="50" t="s">
        <v>58</v>
      </c>
      <c r="F39" s="50" t="s">
        <v>26</v>
      </c>
      <c r="G39" s="29">
        <v>30000</v>
      </c>
      <c r="H39" s="30">
        <f t="shared" si="7"/>
        <v>861</v>
      </c>
      <c r="I39" s="29">
        <f t="shared" si="8"/>
        <v>912</v>
      </c>
      <c r="J39" s="29">
        <f t="shared" si="9"/>
        <v>28227</v>
      </c>
      <c r="K39" s="51">
        <v>0</v>
      </c>
      <c r="L39" s="51"/>
      <c r="M39" s="30"/>
      <c r="N39" s="30"/>
      <c r="O39" s="30">
        <f>25</f>
        <v>25</v>
      </c>
      <c r="P39" s="30">
        <f t="shared" si="10"/>
        <v>1798</v>
      </c>
      <c r="Q39" s="30">
        <f t="shared" si="11"/>
        <v>28202</v>
      </c>
    </row>
    <row r="40" spans="1:17" ht="37.5" customHeight="1" thickBot="1" x14ac:dyDescent="0.45">
      <c r="A40" s="25">
        <v>24</v>
      </c>
      <c r="B40" s="32">
        <v>44206</v>
      </c>
      <c r="C40" s="27" t="s">
        <v>29</v>
      </c>
      <c r="D40" s="50" t="s">
        <v>71</v>
      </c>
      <c r="E40" s="50" t="s">
        <v>58</v>
      </c>
      <c r="F40" s="50" t="s">
        <v>26</v>
      </c>
      <c r="G40" s="29">
        <v>30000</v>
      </c>
      <c r="H40" s="30">
        <f t="shared" si="7"/>
        <v>861</v>
      </c>
      <c r="I40" s="29">
        <f t="shared" si="8"/>
        <v>912</v>
      </c>
      <c r="J40" s="29">
        <f t="shared" si="9"/>
        <v>28227</v>
      </c>
      <c r="K40" s="51">
        <v>0</v>
      </c>
      <c r="L40" s="51"/>
      <c r="M40" s="30"/>
      <c r="N40" s="30"/>
      <c r="O40" s="30">
        <v>25</v>
      </c>
      <c r="P40" s="30">
        <f t="shared" si="10"/>
        <v>1798</v>
      </c>
      <c r="Q40" s="30">
        <f t="shared" si="11"/>
        <v>28202</v>
      </c>
    </row>
    <row r="41" spans="1:17" ht="37.5" customHeight="1" thickBot="1" x14ac:dyDescent="0.45">
      <c r="A41" s="25">
        <v>25</v>
      </c>
      <c r="B41" s="32" t="s">
        <v>72</v>
      </c>
      <c r="C41" s="27" t="s">
        <v>23</v>
      </c>
      <c r="D41" s="50" t="s">
        <v>73</v>
      </c>
      <c r="E41" s="50" t="s">
        <v>61</v>
      </c>
      <c r="F41" s="50" t="s">
        <v>26</v>
      </c>
      <c r="G41" s="29">
        <v>30000</v>
      </c>
      <c r="H41" s="30">
        <f t="shared" si="7"/>
        <v>861</v>
      </c>
      <c r="I41" s="29">
        <f t="shared" si="8"/>
        <v>912</v>
      </c>
      <c r="J41" s="29">
        <f t="shared" si="9"/>
        <v>28227</v>
      </c>
      <c r="K41" s="51">
        <v>0</v>
      </c>
      <c r="L41" s="51"/>
      <c r="M41" s="30"/>
      <c r="N41" s="30"/>
      <c r="O41" s="30">
        <v>25</v>
      </c>
      <c r="P41" s="30">
        <f t="shared" si="10"/>
        <v>1798</v>
      </c>
      <c r="Q41" s="30">
        <f t="shared" si="11"/>
        <v>28202</v>
      </c>
    </row>
    <row r="42" spans="1:17" ht="37.5" customHeight="1" thickBot="1" x14ac:dyDescent="0.45">
      <c r="A42" s="25">
        <v>26</v>
      </c>
      <c r="B42" s="32" t="s">
        <v>72</v>
      </c>
      <c r="C42" s="27" t="s">
        <v>23</v>
      </c>
      <c r="D42" s="50" t="s">
        <v>74</v>
      </c>
      <c r="E42" s="50" t="s">
        <v>61</v>
      </c>
      <c r="F42" s="50" t="s">
        <v>26</v>
      </c>
      <c r="G42" s="29">
        <v>30000</v>
      </c>
      <c r="H42" s="30">
        <f t="shared" si="7"/>
        <v>861</v>
      </c>
      <c r="I42" s="29">
        <f t="shared" si="8"/>
        <v>912</v>
      </c>
      <c r="J42" s="29">
        <f t="shared" si="9"/>
        <v>28227</v>
      </c>
      <c r="K42" s="51">
        <v>0</v>
      </c>
      <c r="L42" s="51"/>
      <c r="M42" s="30"/>
      <c r="N42" s="30"/>
      <c r="O42" s="30">
        <f>25</f>
        <v>25</v>
      </c>
      <c r="P42" s="30">
        <f t="shared" si="10"/>
        <v>1798</v>
      </c>
      <c r="Q42" s="30">
        <f t="shared" si="11"/>
        <v>28202</v>
      </c>
    </row>
    <row r="43" spans="1:17" ht="37.5" customHeight="1" thickBot="1" x14ac:dyDescent="0.45">
      <c r="A43" s="25">
        <v>27</v>
      </c>
      <c r="B43" s="32">
        <v>44872</v>
      </c>
      <c r="C43" s="27" t="s">
        <v>23</v>
      </c>
      <c r="D43" s="50" t="s">
        <v>75</v>
      </c>
      <c r="E43" s="50" t="s">
        <v>58</v>
      </c>
      <c r="F43" s="50" t="s">
        <v>26</v>
      </c>
      <c r="G43" s="29">
        <v>30000</v>
      </c>
      <c r="H43" s="30">
        <f t="shared" si="7"/>
        <v>861</v>
      </c>
      <c r="I43" s="29">
        <f t="shared" si="8"/>
        <v>912</v>
      </c>
      <c r="J43" s="29">
        <f t="shared" si="9"/>
        <v>28227</v>
      </c>
      <c r="K43" s="51">
        <v>0</v>
      </c>
      <c r="L43" s="51"/>
      <c r="M43" s="30"/>
      <c r="N43" s="30"/>
      <c r="O43" s="30">
        <v>25</v>
      </c>
      <c r="P43" s="30">
        <f t="shared" si="10"/>
        <v>1798</v>
      </c>
      <c r="Q43" s="30">
        <f t="shared" si="11"/>
        <v>28202</v>
      </c>
    </row>
    <row r="44" spans="1:17" ht="37.5" customHeight="1" thickBot="1" x14ac:dyDescent="0.45">
      <c r="A44" s="25">
        <v>28</v>
      </c>
      <c r="B44" s="32">
        <v>44565</v>
      </c>
      <c r="C44" s="27" t="s">
        <v>23</v>
      </c>
      <c r="D44" s="50" t="s">
        <v>76</v>
      </c>
      <c r="E44" s="50" t="s">
        <v>61</v>
      </c>
      <c r="F44" s="50" t="s">
        <v>26</v>
      </c>
      <c r="G44" s="29">
        <v>30000</v>
      </c>
      <c r="H44" s="30">
        <f t="shared" si="7"/>
        <v>861</v>
      </c>
      <c r="I44" s="29">
        <f t="shared" si="8"/>
        <v>912</v>
      </c>
      <c r="J44" s="29">
        <f t="shared" si="9"/>
        <v>28227</v>
      </c>
      <c r="K44" s="51">
        <v>0</v>
      </c>
      <c r="L44" s="51"/>
      <c r="M44" s="30"/>
      <c r="N44" s="30"/>
      <c r="O44" s="30">
        <v>25</v>
      </c>
      <c r="P44" s="30">
        <f t="shared" si="10"/>
        <v>1798</v>
      </c>
      <c r="Q44" s="30">
        <f t="shared" si="11"/>
        <v>28202</v>
      </c>
    </row>
    <row r="45" spans="1:17" ht="37.5" customHeight="1" thickBot="1" x14ac:dyDescent="0.45">
      <c r="A45" s="25">
        <v>29</v>
      </c>
      <c r="B45" s="32">
        <v>44931</v>
      </c>
      <c r="C45" s="27" t="s">
        <v>23</v>
      </c>
      <c r="D45" s="50" t="s">
        <v>77</v>
      </c>
      <c r="E45" s="50" t="s">
        <v>61</v>
      </c>
      <c r="F45" s="50" t="s">
        <v>26</v>
      </c>
      <c r="G45" s="29">
        <v>30000</v>
      </c>
      <c r="H45" s="30">
        <f t="shared" si="7"/>
        <v>861</v>
      </c>
      <c r="I45" s="29">
        <f t="shared" si="8"/>
        <v>912</v>
      </c>
      <c r="J45" s="29">
        <f t="shared" si="9"/>
        <v>28227</v>
      </c>
      <c r="K45" s="51">
        <v>0</v>
      </c>
      <c r="L45" s="51"/>
      <c r="M45" s="30"/>
      <c r="N45" s="30"/>
      <c r="O45" s="30">
        <v>25</v>
      </c>
      <c r="P45" s="30">
        <f t="shared" si="10"/>
        <v>1798</v>
      </c>
      <c r="Q45" s="30">
        <f t="shared" si="11"/>
        <v>28202</v>
      </c>
    </row>
    <row r="46" spans="1:17" ht="37.5" customHeight="1" thickBot="1" x14ac:dyDescent="0.45">
      <c r="A46" s="25">
        <v>30</v>
      </c>
      <c r="B46" s="32">
        <v>44931</v>
      </c>
      <c r="C46" s="27" t="s">
        <v>29</v>
      </c>
      <c r="D46" s="50" t="s">
        <v>78</v>
      </c>
      <c r="E46" s="50" t="s">
        <v>58</v>
      </c>
      <c r="F46" s="50" t="s">
        <v>26</v>
      </c>
      <c r="G46" s="29">
        <v>30000</v>
      </c>
      <c r="H46" s="30">
        <f t="shared" si="7"/>
        <v>861</v>
      </c>
      <c r="I46" s="29">
        <f t="shared" si="8"/>
        <v>912</v>
      </c>
      <c r="J46" s="29">
        <f t="shared" si="9"/>
        <v>28227</v>
      </c>
      <c r="K46" s="51">
        <v>0</v>
      </c>
      <c r="L46" s="51"/>
      <c r="M46" s="30"/>
      <c r="N46" s="30"/>
      <c r="O46" s="30">
        <f>25</f>
        <v>25</v>
      </c>
      <c r="P46" s="30">
        <f t="shared" si="10"/>
        <v>1798</v>
      </c>
      <c r="Q46" s="30">
        <f t="shared" si="11"/>
        <v>28202</v>
      </c>
    </row>
    <row r="47" spans="1:17" ht="37.5" customHeight="1" thickBot="1" x14ac:dyDescent="0.45">
      <c r="A47" s="25">
        <v>31</v>
      </c>
      <c r="B47" s="32">
        <v>44937</v>
      </c>
      <c r="C47" s="27" t="s">
        <v>29</v>
      </c>
      <c r="D47" s="50" t="s">
        <v>79</v>
      </c>
      <c r="E47" s="50" t="s">
        <v>80</v>
      </c>
      <c r="F47" s="50" t="s">
        <v>26</v>
      </c>
      <c r="G47" s="29">
        <v>45000</v>
      </c>
      <c r="H47" s="30">
        <f t="shared" si="7"/>
        <v>1291.5</v>
      </c>
      <c r="I47" s="29">
        <f t="shared" si="8"/>
        <v>1368</v>
      </c>
      <c r="J47" s="29">
        <f t="shared" si="9"/>
        <v>42340.5</v>
      </c>
      <c r="K47" s="51">
        <v>1148.33</v>
      </c>
      <c r="L47" s="51"/>
      <c r="M47" s="30"/>
      <c r="N47" s="30"/>
      <c r="O47" s="30">
        <v>25</v>
      </c>
      <c r="P47" s="30">
        <f t="shared" si="10"/>
        <v>3832.83</v>
      </c>
      <c r="Q47" s="30">
        <f t="shared" si="11"/>
        <v>41167.17</v>
      </c>
    </row>
    <row r="48" spans="1:17" ht="37.5" customHeight="1" thickBot="1" x14ac:dyDescent="0.45">
      <c r="A48" s="25">
        <v>32</v>
      </c>
      <c r="B48" s="32">
        <v>44938</v>
      </c>
      <c r="C48" s="27" t="s">
        <v>23</v>
      </c>
      <c r="D48" s="50" t="s">
        <v>81</v>
      </c>
      <c r="E48" s="50" t="s">
        <v>82</v>
      </c>
      <c r="F48" s="50" t="s">
        <v>26</v>
      </c>
      <c r="G48" s="29">
        <v>45000</v>
      </c>
      <c r="H48" s="30">
        <f t="shared" si="7"/>
        <v>1291.5</v>
      </c>
      <c r="I48" s="29">
        <f t="shared" si="8"/>
        <v>1368</v>
      </c>
      <c r="J48" s="29">
        <f t="shared" si="9"/>
        <v>42340.5</v>
      </c>
      <c r="K48" s="51">
        <v>1148.33</v>
      </c>
      <c r="L48" s="51"/>
      <c r="M48" s="30"/>
      <c r="N48" s="30"/>
      <c r="O48" s="30">
        <v>25</v>
      </c>
      <c r="P48" s="30">
        <f t="shared" si="10"/>
        <v>3832.83</v>
      </c>
      <c r="Q48" s="30">
        <f t="shared" si="11"/>
        <v>41167.17</v>
      </c>
    </row>
    <row r="49" spans="1:17" ht="49.15" customHeight="1" thickBot="1" x14ac:dyDescent="0.45">
      <c r="A49" s="52"/>
      <c r="B49" s="148" t="s">
        <v>38</v>
      </c>
      <c r="C49" s="149" t="s">
        <v>83</v>
      </c>
      <c r="D49" s="149"/>
      <c r="E49" s="150"/>
      <c r="F49" s="53"/>
      <c r="G49" s="54">
        <f t="shared" ref="G49:Q49" si="12">SUM(G24:G48)</f>
        <v>865000</v>
      </c>
      <c r="H49" s="54">
        <f t="shared" si="12"/>
        <v>24825.5</v>
      </c>
      <c r="I49" s="54">
        <f t="shared" si="12"/>
        <v>26296</v>
      </c>
      <c r="J49" s="54">
        <f t="shared" si="12"/>
        <v>813878.5</v>
      </c>
      <c r="K49" s="54">
        <f t="shared" si="12"/>
        <v>10377.129999999999</v>
      </c>
      <c r="L49" s="54">
        <f t="shared" si="12"/>
        <v>0</v>
      </c>
      <c r="M49" s="54">
        <f t="shared" si="12"/>
        <v>0</v>
      </c>
      <c r="N49" s="54">
        <f t="shared" si="12"/>
        <v>0</v>
      </c>
      <c r="O49" s="54">
        <f t="shared" si="12"/>
        <v>625</v>
      </c>
      <c r="P49" s="54">
        <f t="shared" si="12"/>
        <v>62123.630000000005</v>
      </c>
      <c r="Q49" s="54">
        <f t="shared" si="12"/>
        <v>802876.37000000011</v>
      </c>
    </row>
    <row r="50" spans="1:17" ht="37.5" customHeight="1" x14ac:dyDescent="0.25">
      <c r="A50" s="151"/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1"/>
    </row>
    <row r="51" spans="1:17" ht="37.5" customHeight="1" thickBot="1" x14ac:dyDescent="0.3">
      <c r="A51" s="152"/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2"/>
    </row>
    <row r="52" spans="1:17" ht="49.9" customHeight="1" thickBot="1" x14ac:dyDescent="0.45">
      <c r="A52" s="52"/>
      <c r="B52" s="148" t="s">
        <v>84</v>
      </c>
      <c r="C52" s="149"/>
      <c r="D52" s="149"/>
      <c r="E52" s="150"/>
      <c r="F52" s="55"/>
      <c r="G52" s="54">
        <f>G49+G21</f>
        <v>2240000</v>
      </c>
      <c r="H52" s="54">
        <f>H49+H21</f>
        <v>61046.334999999999</v>
      </c>
      <c r="I52" s="54">
        <f>I49+I21</f>
        <v>56865.479999999996</v>
      </c>
      <c r="J52" s="54">
        <f>J49+J21</f>
        <v>2122088.1850000001</v>
      </c>
      <c r="K52" s="54">
        <f>K49+K21</f>
        <v>257080.88999999998</v>
      </c>
      <c r="L52" s="54"/>
      <c r="M52" s="54">
        <f>M49+M21</f>
        <v>1715.46</v>
      </c>
      <c r="N52" s="54">
        <f>N49+N21</f>
        <v>29783.75</v>
      </c>
      <c r="O52" s="54">
        <f>O49+O21</f>
        <v>800</v>
      </c>
      <c r="P52" s="54">
        <f>P49+P21</f>
        <v>407291.91499999998</v>
      </c>
      <c r="Q52" s="56">
        <f>Q49+Q21</f>
        <v>1832708.085</v>
      </c>
    </row>
    <row r="53" spans="1:17" ht="37.5" customHeight="1" x14ac:dyDescent="0.35">
      <c r="C53" s="3"/>
      <c r="D53" s="57"/>
      <c r="E53" s="3"/>
      <c r="F53" s="3"/>
      <c r="G53" s="3"/>
      <c r="H53" s="3"/>
      <c r="I53" s="3"/>
      <c r="J53" s="3"/>
      <c r="K53" s="3"/>
      <c r="L53" s="3"/>
      <c r="M53" s="3"/>
      <c r="N53" s="3"/>
      <c r="O53" s="58"/>
      <c r="P53" s="3"/>
      <c r="Q53" s="138"/>
    </row>
    <row r="54" spans="1:17" ht="37.5" customHeight="1" x14ac:dyDescent="0.35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37.5" customHeight="1" x14ac:dyDescent="0.45">
      <c r="C55" s="3"/>
      <c r="D55" s="3"/>
      <c r="E55" s="3"/>
      <c r="F55" s="3"/>
      <c r="G55" s="9"/>
      <c r="H55" s="10"/>
      <c r="I55" s="3"/>
      <c r="J55" s="3"/>
      <c r="K55" s="59"/>
      <c r="L55" s="59"/>
      <c r="M55" s="59"/>
      <c r="N55" s="59"/>
      <c r="O55" s="60"/>
      <c r="P55" s="3"/>
      <c r="Q55" s="61"/>
    </row>
    <row r="56" spans="1:17" ht="48" customHeight="1" x14ac:dyDescent="0.3">
      <c r="C56" s="3"/>
      <c r="D56" s="3"/>
      <c r="E56" s="62" t="s">
        <v>85</v>
      </c>
      <c r="H56" s="3"/>
      <c r="I56" s="147" t="s">
        <v>86</v>
      </c>
      <c r="J56" s="147"/>
      <c r="K56" s="147"/>
      <c r="L56" s="62"/>
      <c r="M56" s="3"/>
      <c r="N56" s="3"/>
      <c r="O56" s="3"/>
      <c r="P56" s="60"/>
      <c r="Q56" s="3"/>
    </row>
    <row r="57" spans="1:17" ht="50.45" customHeight="1" x14ac:dyDescent="0.3">
      <c r="D57" s="63"/>
      <c r="E57" s="62" t="s">
        <v>87</v>
      </c>
      <c r="H57" s="64"/>
      <c r="I57" s="147" t="s">
        <v>88</v>
      </c>
      <c r="J57" s="147"/>
      <c r="K57" s="147"/>
      <c r="L57" s="62"/>
      <c r="M57" s="65"/>
      <c r="N57" s="66"/>
      <c r="O57" s="3"/>
      <c r="P57" s="3"/>
      <c r="Q57" s="3"/>
    </row>
    <row r="58" spans="1:17" ht="37.5" customHeight="1" x14ac:dyDescent="0.4">
      <c r="C58" s="67"/>
      <c r="D58" s="68"/>
      <c r="E58" s="68"/>
      <c r="F58" s="68"/>
      <c r="G58" s="69"/>
    </row>
    <row r="59" spans="1:17" ht="37.5" customHeight="1" x14ac:dyDescent="0.4">
      <c r="C59" s="67"/>
      <c r="D59" s="68"/>
      <c r="E59" s="70"/>
      <c r="F59" s="70"/>
      <c r="G59" s="71"/>
    </row>
    <row r="60" spans="1:17" ht="37.5" customHeight="1" x14ac:dyDescent="0.4">
      <c r="C60" s="67"/>
      <c r="D60" s="72"/>
      <c r="E60" s="67"/>
      <c r="F60" s="67"/>
      <c r="G60" s="69"/>
    </row>
    <row r="61" spans="1:17" ht="37.5" customHeight="1" x14ac:dyDescent="0.4">
      <c r="C61" s="67"/>
      <c r="D61" s="63"/>
      <c r="E61" s="63"/>
      <c r="F61" s="63"/>
      <c r="G61" s="63"/>
      <c r="H61" s="63"/>
      <c r="I61" s="63"/>
      <c r="J61" s="63"/>
      <c r="K61" s="63"/>
      <c r="L61" s="63"/>
      <c r="M61" s="73"/>
      <c r="N61" s="65"/>
    </row>
    <row r="62" spans="1:17" ht="37.5" customHeight="1" x14ac:dyDescent="0.4">
      <c r="C62" s="67"/>
      <c r="D62" s="68"/>
      <c r="E62" s="68"/>
      <c r="F62" s="68"/>
      <c r="G62" s="74"/>
      <c r="H62" s="63"/>
      <c r="I62" s="63"/>
      <c r="J62" s="63"/>
      <c r="K62" s="63"/>
      <c r="L62" s="63"/>
      <c r="M62" s="73"/>
      <c r="N62" s="65"/>
    </row>
    <row r="63" spans="1:17" ht="37.5" customHeight="1" x14ac:dyDescent="0.4">
      <c r="C63" s="67"/>
      <c r="D63" s="68"/>
      <c r="E63" s="68"/>
      <c r="F63" s="68"/>
      <c r="G63" s="74"/>
      <c r="H63" s="63"/>
      <c r="I63" s="63"/>
      <c r="J63" s="63"/>
      <c r="K63" s="63"/>
      <c r="L63" s="63"/>
      <c r="M63" s="73"/>
      <c r="N63" s="65"/>
    </row>
    <row r="64" spans="1:17" ht="37.5" customHeight="1" x14ac:dyDescent="0.4">
      <c r="C64" s="67"/>
      <c r="D64" s="68"/>
      <c r="E64" s="68"/>
      <c r="F64" s="68"/>
      <c r="G64" s="63"/>
    </row>
  </sheetData>
  <protectedRanges>
    <protectedRange sqref="C14" name="Data_7_1_1"/>
  </protectedRanges>
  <autoFilter ref="A12:Q12" xr:uid="{9F39948D-E9A9-49CF-B972-9BAF74CA9669}"/>
  <mergeCells count="13">
    <mergeCell ref="B13:D13"/>
    <mergeCell ref="I57:K57"/>
    <mergeCell ref="B21:E21"/>
    <mergeCell ref="B49:E49"/>
    <mergeCell ref="A50:A51"/>
    <mergeCell ref="B50:Q51"/>
    <mergeCell ref="B52:E52"/>
    <mergeCell ref="I56:K56"/>
    <mergeCell ref="G4:I4"/>
    <mergeCell ref="G5:I5"/>
    <mergeCell ref="G6:I6"/>
    <mergeCell ref="H11:I11"/>
    <mergeCell ref="J11:O11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6BE5-52CA-4C4F-B8AB-D5D85BCC66E3}">
  <dimension ref="A1:S119"/>
  <sheetViews>
    <sheetView showGridLines="0" topLeftCell="A2" zoomScale="39" zoomScaleNormal="39" zoomScaleSheetLayoutView="49" workbookViewId="0">
      <pane xSplit="6" topLeftCell="P1" activePane="topRight" state="frozen"/>
      <selection pane="topRight" activeCell="U72" sqref="U72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5">
      <c r="D3" s="2"/>
      <c r="E3" s="2"/>
      <c r="F3" s="2"/>
      <c r="G3" s="2"/>
      <c r="H3" s="3"/>
      <c r="I3" s="4"/>
      <c r="J3" s="3"/>
      <c r="K3" s="2"/>
      <c r="L3" s="2"/>
      <c r="M3" s="2"/>
      <c r="N3" s="2"/>
      <c r="O3" s="2"/>
      <c r="P3" s="2"/>
      <c r="Q3" s="2"/>
      <c r="R3" s="2"/>
      <c r="S3" s="3"/>
    </row>
    <row r="4" spans="1:19" ht="34.9" customHeight="1" x14ac:dyDescent="0.4">
      <c r="D4" s="2"/>
      <c r="E4" s="2"/>
      <c r="F4" s="4" t="s">
        <v>89</v>
      </c>
      <c r="G4" s="2"/>
      <c r="H4" s="3"/>
      <c r="I4" s="4"/>
      <c r="J4" s="3"/>
      <c r="K4" s="2"/>
      <c r="L4" s="2"/>
      <c r="M4" s="2"/>
      <c r="N4" s="2"/>
      <c r="O4" s="2"/>
      <c r="P4" s="2"/>
      <c r="Q4" s="2"/>
      <c r="R4" s="2"/>
      <c r="S4" s="3"/>
    </row>
    <row r="5" spans="1:19" ht="37.5" customHeight="1" x14ac:dyDescent="0.45">
      <c r="D5" s="5"/>
      <c r="E5" s="5"/>
      <c r="F5" s="76" t="s">
        <v>90</v>
      </c>
      <c r="G5" s="5"/>
      <c r="H5" s="3"/>
      <c r="I5" s="7"/>
      <c r="J5" s="3"/>
      <c r="K5" s="5"/>
      <c r="L5" s="5"/>
      <c r="M5" s="5"/>
      <c r="N5" s="5"/>
      <c r="O5" s="5"/>
      <c r="P5" s="5"/>
      <c r="Q5" s="5"/>
      <c r="R5" s="5"/>
      <c r="S5" s="3"/>
    </row>
    <row r="6" spans="1:19" ht="37.5" customHeight="1" x14ac:dyDescent="0.45">
      <c r="D6" s="6"/>
      <c r="E6" s="6"/>
      <c r="F6" s="7" t="s">
        <v>274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3"/>
    </row>
    <row r="7" spans="1:19" ht="37.5" customHeight="1" x14ac:dyDescent="0.45">
      <c r="D7" s="7"/>
      <c r="E7" s="7"/>
      <c r="F7" s="7"/>
      <c r="G7" s="7"/>
      <c r="I7" s="7"/>
      <c r="L7" s="7"/>
      <c r="M7" s="7"/>
      <c r="N7" s="7"/>
      <c r="O7" s="8"/>
      <c r="P7" s="8"/>
      <c r="Q7" s="8"/>
      <c r="R7" s="7"/>
      <c r="S7" s="3"/>
    </row>
    <row r="8" spans="1:19" ht="37.5" customHeight="1" thickBot="1" x14ac:dyDescent="0.5">
      <c r="D8" s="3"/>
      <c r="E8" s="3"/>
      <c r="F8" s="3"/>
      <c r="G8" s="3"/>
      <c r="H8" s="77"/>
      <c r="I8" s="3"/>
      <c r="J8" s="3"/>
      <c r="K8" s="3"/>
      <c r="L8" s="9"/>
      <c r="M8" s="9"/>
      <c r="N8" s="9"/>
      <c r="O8" s="10"/>
      <c r="P8" s="8"/>
      <c r="Q8" s="8"/>
      <c r="R8" s="3"/>
      <c r="S8" s="3"/>
    </row>
    <row r="9" spans="1:19" ht="37.5" customHeight="1" thickBot="1" x14ac:dyDescent="0.45">
      <c r="D9" s="11"/>
      <c r="E9" s="12"/>
      <c r="F9" s="12"/>
      <c r="G9" s="12"/>
      <c r="H9" s="13" t="s">
        <v>2</v>
      </c>
      <c r="I9" s="141" t="s">
        <v>91</v>
      </c>
      <c r="J9" s="142"/>
      <c r="K9" s="143" t="s">
        <v>4</v>
      </c>
      <c r="L9" s="143"/>
      <c r="M9" s="143"/>
      <c r="N9" s="143"/>
      <c r="O9" s="143"/>
      <c r="P9" s="142"/>
      <c r="Q9" s="78"/>
      <c r="S9" s="14"/>
    </row>
    <row r="10" spans="1:19" ht="126.6" customHeight="1" thickBot="1" x14ac:dyDescent="0.3">
      <c r="A10" s="15" t="s">
        <v>5</v>
      </c>
      <c r="B10" s="15" t="s">
        <v>6</v>
      </c>
      <c r="C10" s="15" t="s">
        <v>92</v>
      </c>
      <c r="D10" s="15" t="s">
        <v>7</v>
      </c>
      <c r="E10" s="15" t="s">
        <v>8</v>
      </c>
      <c r="F10" s="16" t="s">
        <v>93</v>
      </c>
      <c r="G10" s="16" t="s">
        <v>10</v>
      </c>
      <c r="H10" s="16" t="s">
        <v>11</v>
      </c>
      <c r="I10" s="17" t="s">
        <v>94</v>
      </c>
      <c r="J10" s="16" t="s">
        <v>95</v>
      </c>
      <c r="K10" s="16" t="s">
        <v>14</v>
      </c>
      <c r="L10" s="16" t="s">
        <v>96</v>
      </c>
      <c r="M10" s="18" t="s">
        <v>16</v>
      </c>
      <c r="N10" s="15" t="s">
        <v>97</v>
      </c>
      <c r="O10" s="17" t="s">
        <v>98</v>
      </c>
      <c r="P10" s="19" t="s">
        <v>99</v>
      </c>
      <c r="Q10" s="19" t="s">
        <v>100</v>
      </c>
      <c r="R10" s="16" t="s">
        <v>19</v>
      </c>
      <c r="S10" s="17" t="s">
        <v>20</v>
      </c>
    </row>
    <row r="11" spans="1:19" ht="48.6" customHeight="1" thickBot="1" x14ac:dyDescent="0.45">
      <c r="A11" s="25"/>
      <c r="B11" s="79" t="s">
        <v>101</v>
      </c>
      <c r="C11" s="80"/>
      <c r="D11" s="80"/>
      <c r="E11" s="80"/>
      <c r="F11" s="81"/>
      <c r="G11" s="28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37.15" customHeight="1" thickBot="1" x14ac:dyDescent="0.45">
      <c r="A12" s="25">
        <v>1</v>
      </c>
      <c r="B12" s="26" t="s">
        <v>102</v>
      </c>
      <c r="C12" s="26">
        <v>45293</v>
      </c>
      <c r="D12" s="27" t="s">
        <v>29</v>
      </c>
      <c r="E12" s="28" t="s">
        <v>103</v>
      </c>
      <c r="F12" s="28" t="s">
        <v>104</v>
      </c>
      <c r="G12" s="27" t="s">
        <v>105</v>
      </c>
      <c r="H12" s="29">
        <v>225000</v>
      </c>
      <c r="I12" s="30">
        <f t="shared" ref="I12:I16" si="0">+H12*2.87%</f>
        <v>6457.5</v>
      </c>
      <c r="J12" s="30">
        <f>193525*3.04%</f>
        <v>5883.16</v>
      </c>
      <c r="K12" s="30">
        <f>H12-I12-J12</f>
        <v>212659.34</v>
      </c>
      <c r="L12" s="51">
        <v>41797.19</v>
      </c>
      <c r="M12" s="51"/>
      <c r="N12" s="30"/>
      <c r="O12" s="30">
        <v>25</v>
      </c>
      <c r="P12" s="30"/>
      <c r="Q12" s="30"/>
      <c r="R12" s="30">
        <f>I12+J12+L12+N12+O12+P12</f>
        <v>54162.850000000006</v>
      </c>
      <c r="S12" s="51">
        <f>H12-R12</f>
        <v>170837.15</v>
      </c>
    </row>
    <row r="13" spans="1:19" ht="62.45" customHeight="1" thickBot="1" x14ac:dyDescent="0.45">
      <c r="A13" s="25">
        <v>2</v>
      </c>
      <c r="B13" s="26">
        <v>44199</v>
      </c>
      <c r="C13" s="26">
        <v>45293</v>
      </c>
      <c r="D13" s="27" t="s">
        <v>29</v>
      </c>
      <c r="E13" s="28" t="s">
        <v>106</v>
      </c>
      <c r="F13" s="31" t="s">
        <v>107</v>
      </c>
      <c r="G13" s="27" t="s">
        <v>105</v>
      </c>
      <c r="H13" s="29">
        <v>77000</v>
      </c>
      <c r="I13" s="30">
        <f t="shared" si="0"/>
        <v>2209.9</v>
      </c>
      <c r="J13" s="30">
        <f>H13*3.04%</f>
        <v>2340.8000000000002</v>
      </c>
      <c r="K13" s="30">
        <f>H13-I13-J13</f>
        <v>72449.3</v>
      </c>
      <c r="L13" s="51">
        <f>6695.19-M13</f>
        <v>6695.19</v>
      </c>
      <c r="M13" s="51">
        <v>0</v>
      </c>
      <c r="N13" s="30"/>
      <c r="O13" s="30">
        <f>25</f>
        <v>25</v>
      </c>
      <c r="P13" s="30"/>
      <c r="Q13" s="30"/>
      <c r="R13" s="30">
        <f>I13+J13+L13+N13+O13+P13</f>
        <v>11270.89</v>
      </c>
      <c r="S13" s="51">
        <f t="shared" ref="S13:S16" si="1">H13-R13</f>
        <v>65729.11</v>
      </c>
    </row>
    <row r="14" spans="1:19" ht="38.450000000000003" customHeight="1" thickBot="1" x14ac:dyDescent="0.45">
      <c r="A14" s="25">
        <v>3</v>
      </c>
      <c r="B14" s="26">
        <v>44564</v>
      </c>
      <c r="C14" s="26">
        <v>45293</v>
      </c>
      <c r="D14" s="27" t="s">
        <v>29</v>
      </c>
      <c r="E14" s="28" t="s">
        <v>108</v>
      </c>
      <c r="F14" s="31" t="s">
        <v>109</v>
      </c>
      <c r="G14" s="27" t="s">
        <v>105</v>
      </c>
      <c r="H14" s="29">
        <v>115000</v>
      </c>
      <c r="I14" s="30">
        <f t="shared" si="0"/>
        <v>3300.5</v>
      </c>
      <c r="J14" s="30">
        <f>H14*3.04%</f>
        <v>3496</v>
      </c>
      <c r="K14" s="30">
        <f t="shared" ref="K14:K16" si="2">H14-I14-J14</f>
        <v>108203.5</v>
      </c>
      <c r="L14" s="51">
        <v>15633.74</v>
      </c>
      <c r="M14" s="51"/>
      <c r="N14" s="30"/>
      <c r="O14" s="30">
        <v>25</v>
      </c>
      <c r="P14" s="30"/>
      <c r="Q14" s="30">
        <v>10380.84</v>
      </c>
      <c r="R14" s="82">
        <f>I14+J14+N14+O14+P14+L14-Q14</f>
        <v>12074.399999999998</v>
      </c>
      <c r="S14" s="51">
        <f>H14-R14</f>
        <v>102925.6</v>
      </c>
    </row>
    <row r="15" spans="1:19" ht="38.450000000000003" customHeight="1" thickBot="1" x14ac:dyDescent="0.45">
      <c r="A15" s="25">
        <v>4</v>
      </c>
      <c r="B15" s="26" t="s">
        <v>110</v>
      </c>
      <c r="C15" s="26">
        <v>45295</v>
      </c>
      <c r="D15" s="27" t="s">
        <v>29</v>
      </c>
      <c r="E15" s="28" t="s">
        <v>111</v>
      </c>
      <c r="F15" s="31" t="s">
        <v>112</v>
      </c>
      <c r="G15" s="27" t="s">
        <v>105</v>
      </c>
      <c r="H15" s="29">
        <v>80000</v>
      </c>
      <c r="I15" s="30">
        <f t="shared" si="0"/>
        <v>2296</v>
      </c>
      <c r="J15" s="30">
        <f>H15*3.04%</f>
        <v>2432</v>
      </c>
      <c r="K15" s="30">
        <f t="shared" si="2"/>
        <v>75272</v>
      </c>
      <c r="L15" s="51">
        <v>8576.99</v>
      </c>
      <c r="M15" s="51"/>
      <c r="N15" s="30"/>
      <c r="O15" s="30">
        <v>25</v>
      </c>
      <c r="P15" s="30"/>
      <c r="Q15" s="30"/>
      <c r="R15" s="30">
        <f>I15+J15+L15+N15+O15+P15</f>
        <v>13329.99</v>
      </c>
      <c r="S15" s="51">
        <f t="shared" si="1"/>
        <v>66670.009999999995</v>
      </c>
    </row>
    <row r="16" spans="1:19" ht="75.75" customHeight="1" thickBot="1" x14ac:dyDescent="0.45">
      <c r="A16" s="25">
        <v>5</v>
      </c>
      <c r="B16" s="32">
        <v>44929</v>
      </c>
      <c r="C16" s="26">
        <v>45293</v>
      </c>
      <c r="D16" s="27" t="s">
        <v>23</v>
      </c>
      <c r="E16" s="28" t="s">
        <v>113</v>
      </c>
      <c r="F16" s="83" t="s">
        <v>114</v>
      </c>
      <c r="G16" s="27" t="s">
        <v>105</v>
      </c>
      <c r="H16" s="29">
        <v>115000</v>
      </c>
      <c r="I16" s="30">
        <f t="shared" si="0"/>
        <v>3300.5</v>
      </c>
      <c r="J16" s="30">
        <f>H16*3.04%</f>
        <v>3496</v>
      </c>
      <c r="K16" s="30">
        <f t="shared" si="2"/>
        <v>108203.5</v>
      </c>
      <c r="L16" s="51">
        <v>15204.88</v>
      </c>
      <c r="M16" s="51"/>
      <c r="N16" s="30">
        <v>1715.46</v>
      </c>
      <c r="O16" s="30">
        <f>25</f>
        <v>25</v>
      </c>
      <c r="P16" s="30"/>
      <c r="Q16" s="30"/>
      <c r="R16" s="30">
        <f>I16+J16+L16+N16+O16+P16</f>
        <v>23741.839999999997</v>
      </c>
      <c r="S16" s="51">
        <f t="shared" si="1"/>
        <v>91258.16</v>
      </c>
    </row>
    <row r="17" spans="1:19" ht="35.450000000000003" customHeight="1" thickBot="1" x14ac:dyDescent="0.5">
      <c r="A17" s="25"/>
      <c r="B17" s="148" t="s">
        <v>38</v>
      </c>
      <c r="C17" s="149"/>
      <c r="D17" s="149"/>
      <c r="E17" s="149"/>
      <c r="F17" s="150"/>
      <c r="G17" s="84"/>
      <c r="H17" s="85">
        <f>H12+H13+H14+H15+H16</f>
        <v>612000</v>
      </c>
      <c r="I17" s="85">
        <f t="shared" ref="I17:S17" si="3">I12+I13+I14+I15+I16</f>
        <v>17564.400000000001</v>
      </c>
      <c r="J17" s="85">
        <f t="shared" si="3"/>
        <v>17647.96</v>
      </c>
      <c r="K17" s="85">
        <f t="shared" si="3"/>
        <v>576787.64</v>
      </c>
      <c r="L17" s="85">
        <f t="shared" si="3"/>
        <v>87907.99</v>
      </c>
      <c r="M17" s="85">
        <f t="shared" si="3"/>
        <v>0</v>
      </c>
      <c r="N17" s="85">
        <f t="shared" si="3"/>
        <v>1715.46</v>
      </c>
      <c r="O17" s="85">
        <f t="shared" si="3"/>
        <v>125</v>
      </c>
      <c r="P17" s="85">
        <f t="shared" si="3"/>
        <v>0</v>
      </c>
      <c r="Q17" s="85">
        <f t="shared" si="3"/>
        <v>10380.84</v>
      </c>
      <c r="R17" s="85">
        <f t="shared" si="3"/>
        <v>114579.97</v>
      </c>
      <c r="S17" s="85">
        <f t="shared" si="3"/>
        <v>497420.03</v>
      </c>
    </row>
    <row r="18" spans="1:19" ht="48.6" customHeight="1" thickBot="1" x14ac:dyDescent="0.45">
      <c r="A18" s="25"/>
      <c r="B18" s="157" t="s">
        <v>115</v>
      </c>
      <c r="C18" s="158"/>
      <c r="D18" s="158"/>
      <c r="E18" s="159"/>
      <c r="F18" s="28"/>
      <c r="G18" s="28"/>
      <c r="H18" s="29"/>
      <c r="I18" s="30"/>
      <c r="J18" s="30"/>
      <c r="K18" s="30"/>
      <c r="L18" s="51"/>
      <c r="M18" s="51"/>
      <c r="N18" s="30"/>
      <c r="O18" s="30"/>
      <c r="P18" s="30"/>
      <c r="Q18" s="30"/>
      <c r="R18" s="30"/>
      <c r="S18" s="30"/>
    </row>
    <row r="19" spans="1:19" ht="36.6" customHeight="1" thickBot="1" x14ac:dyDescent="0.45">
      <c r="A19" s="25">
        <v>6</v>
      </c>
      <c r="B19" s="26">
        <v>43872</v>
      </c>
      <c r="C19" s="26">
        <v>45296</v>
      </c>
      <c r="D19" s="26" t="s">
        <v>29</v>
      </c>
      <c r="E19" s="86" t="s">
        <v>116</v>
      </c>
      <c r="F19" s="28" t="s">
        <v>117</v>
      </c>
      <c r="G19" s="27" t="s">
        <v>105</v>
      </c>
      <c r="H19" s="29">
        <v>225000</v>
      </c>
      <c r="I19" s="30">
        <f>H19*2.87%</f>
        <v>6457.5</v>
      </c>
      <c r="J19" s="30">
        <f>193525*3.04%</f>
        <v>5883.16</v>
      </c>
      <c r="K19" s="30">
        <f>H19-I19-J19</f>
        <v>212659.34</v>
      </c>
      <c r="L19" s="51">
        <v>41797.19</v>
      </c>
      <c r="M19" s="51"/>
      <c r="N19" s="30"/>
      <c r="O19" s="30">
        <f>25</f>
        <v>25</v>
      </c>
      <c r="P19" s="30"/>
      <c r="Q19" s="87"/>
      <c r="R19" s="87">
        <f>I19+J19+L19+N19+O19+P19</f>
        <v>54162.850000000006</v>
      </c>
      <c r="S19" s="51">
        <f>H19-R19</f>
        <v>170837.15</v>
      </c>
    </row>
    <row r="20" spans="1:19" ht="37.15" customHeight="1" thickBot="1" x14ac:dyDescent="0.45">
      <c r="A20" s="25">
        <v>7</v>
      </c>
      <c r="B20" s="26" t="s">
        <v>118</v>
      </c>
      <c r="C20" s="26">
        <v>45296</v>
      </c>
      <c r="D20" s="27" t="s">
        <v>29</v>
      </c>
      <c r="E20" s="28" t="s">
        <v>119</v>
      </c>
      <c r="F20" s="28" t="s">
        <v>120</v>
      </c>
      <c r="G20" s="27" t="s">
        <v>105</v>
      </c>
      <c r="H20" s="29">
        <v>125000</v>
      </c>
      <c r="I20" s="30">
        <f>H20*2.87%</f>
        <v>3587.5</v>
      </c>
      <c r="J20" s="30">
        <f>H20*3.04%</f>
        <v>3800</v>
      </c>
      <c r="K20" s="30">
        <f>H20-I20-J20</f>
        <v>117612.5</v>
      </c>
      <c r="L20" s="51">
        <v>17985.990000000002</v>
      </c>
      <c r="M20" s="51"/>
      <c r="N20" s="30"/>
      <c r="O20" s="30">
        <f>25</f>
        <v>25</v>
      </c>
      <c r="P20" s="30"/>
      <c r="Q20" s="87">
        <v>8028.58</v>
      </c>
      <c r="R20" s="87">
        <f>I20+J20+N20+O20+P20+L20-Q20</f>
        <v>17369.910000000003</v>
      </c>
      <c r="S20" s="51">
        <f t="shared" ref="S20:S21" si="4">H20-R20</f>
        <v>107630.09</v>
      </c>
    </row>
    <row r="21" spans="1:19" ht="37.15" customHeight="1" thickBot="1" x14ac:dyDescent="0.5">
      <c r="A21" s="25">
        <v>8</v>
      </c>
      <c r="B21" s="26">
        <v>44928</v>
      </c>
      <c r="C21" s="26">
        <v>45296</v>
      </c>
      <c r="D21" s="27" t="s">
        <v>29</v>
      </c>
      <c r="E21" s="28" t="s">
        <v>121</v>
      </c>
      <c r="F21" s="28" t="s">
        <v>122</v>
      </c>
      <c r="G21" s="27" t="s">
        <v>105</v>
      </c>
      <c r="H21" s="29">
        <v>82000</v>
      </c>
      <c r="I21" s="30">
        <f>H21*2.87%</f>
        <v>2353.4</v>
      </c>
      <c r="J21" s="30">
        <f>H21*3.04%</f>
        <v>2492.8000000000002</v>
      </c>
      <c r="K21" s="30">
        <f>H21-I21-J21</f>
        <v>77153.8</v>
      </c>
      <c r="L21" s="51">
        <v>7871.32</v>
      </c>
      <c r="M21" s="51"/>
      <c r="N21" s="30"/>
      <c r="O21" s="30">
        <v>25</v>
      </c>
      <c r="P21" s="30"/>
      <c r="Q21" s="87">
        <v>7871.32</v>
      </c>
      <c r="R21" s="87">
        <f>I21+J21+N21+O21+P21+L21-Q21</f>
        <v>4871.2000000000007</v>
      </c>
      <c r="S21" s="51">
        <f t="shared" si="4"/>
        <v>77128.800000000003</v>
      </c>
    </row>
    <row r="22" spans="1:19" ht="39.6" customHeight="1" thickBot="1" x14ac:dyDescent="0.5">
      <c r="A22" s="25"/>
      <c r="B22" s="148" t="s">
        <v>123</v>
      </c>
      <c r="C22" s="149"/>
      <c r="D22" s="149"/>
      <c r="E22" s="149"/>
      <c r="F22" s="150"/>
      <c r="G22" s="88"/>
      <c r="H22" s="85">
        <f>H19+H20+H21</f>
        <v>432000</v>
      </c>
      <c r="I22" s="85">
        <f t="shared" ref="I22:S22" si="5">I19+I20+I21</f>
        <v>12398.4</v>
      </c>
      <c r="J22" s="85">
        <f t="shared" si="5"/>
        <v>12175.96</v>
      </c>
      <c r="K22" s="85">
        <f t="shared" si="5"/>
        <v>407425.63999999996</v>
      </c>
      <c r="L22" s="85">
        <f t="shared" si="5"/>
        <v>67654.5</v>
      </c>
      <c r="M22" s="85">
        <f t="shared" si="5"/>
        <v>0</v>
      </c>
      <c r="N22" s="85">
        <f t="shared" si="5"/>
        <v>0</v>
      </c>
      <c r="O22" s="85">
        <f t="shared" si="5"/>
        <v>75</v>
      </c>
      <c r="P22" s="85">
        <f t="shared" si="5"/>
        <v>0</v>
      </c>
      <c r="Q22" s="85">
        <f t="shared" si="5"/>
        <v>15899.9</v>
      </c>
      <c r="R22" s="85">
        <f t="shared" si="5"/>
        <v>76403.960000000006</v>
      </c>
      <c r="S22" s="85">
        <f t="shared" si="5"/>
        <v>355596.04</v>
      </c>
    </row>
    <row r="23" spans="1:19" ht="48.6" customHeight="1" thickBot="1" x14ac:dyDescent="0.45">
      <c r="A23" s="25"/>
      <c r="B23" s="157" t="s">
        <v>124</v>
      </c>
      <c r="C23" s="158"/>
      <c r="D23" s="158"/>
      <c r="E23" s="158"/>
      <c r="F23" s="35"/>
      <c r="G23" s="88"/>
      <c r="H23" s="84"/>
      <c r="I23" s="84"/>
      <c r="J23" s="84"/>
      <c r="K23" s="84"/>
      <c r="L23" s="84"/>
      <c r="M23" s="84"/>
      <c r="N23" s="84"/>
      <c r="O23" s="29"/>
      <c r="P23" s="84"/>
      <c r="Q23" s="89"/>
      <c r="R23" s="89"/>
      <c r="S23" s="84"/>
    </row>
    <row r="24" spans="1:19" ht="37.15" customHeight="1" thickBot="1" x14ac:dyDescent="0.5">
      <c r="A24" s="25">
        <v>9</v>
      </c>
      <c r="B24" s="26" t="s">
        <v>125</v>
      </c>
      <c r="C24" s="26">
        <v>45293</v>
      </c>
      <c r="D24" s="26" t="s">
        <v>29</v>
      </c>
      <c r="E24" s="90" t="s">
        <v>126</v>
      </c>
      <c r="F24" s="90" t="s">
        <v>127</v>
      </c>
      <c r="G24" s="27" t="s">
        <v>105</v>
      </c>
      <c r="H24" s="29">
        <v>245000</v>
      </c>
      <c r="I24" s="29">
        <f t="shared" ref="I24:I31" si="6">H24*2.87%</f>
        <v>7031.5</v>
      </c>
      <c r="J24" s="29">
        <f>193525*3.04%</f>
        <v>5883.16</v>
      </c>
      <c r="K24" s="29">
        <f t="shared" ref="K24:K31" si="7">H24-I24-J24</f>
        <v>232085.34</v>
      </c>
      <c r="L24" s="29">
        <v>46604.2</v>
      </c>
      <c r="M24" s="29"/>
      <c r="N24" s="29"/>
      <c r="O24" s="29">
        <v>25</v>
      </c>
      <c r="P24" s="29"/>
      <c r="Q24" s="82">
        <v>0</v>
      </c>
      <c r="R24" s="82">
        <f>I24+J24+L24+N24+O24+P24-Q24</f>
        <v>59543.86</v>
      </c>
      <c r="S24" s="29">
        <f t="shared" ref="S24:S31" si="8">H24-R24</f>
        <v>185456.14</v>
      </c>
    </row>
    <row r="25" spans="1:19" ht="37.15" customHeight="1" thickBot="1" x14ac:dyDescent="0.45">
      <c r="A25" s="25">
        <v>10</v>
      </c>
      <c r="B25" s="32">
        <v>44198</v>
      </c>
      <c r="C25" s="32">
        <v>45293</v>
      </c>
      <c r="D25" s="26" t="s">
        <v>29</v>
      </c>
      <c r="E25" s="90" t="s">
        <v>128</v>
      </c>
      <c r="F25" s="86" t="s">
        <v>129</v>
      </c>
      <c r="G25" s="27" t="s">
        <v>105</v>
      </c>
      <c r="H25" s="29">
        <v>110000</v>
      </c>
      <c r="I25" s="29">
        <f t="shared" si="6"/>
        <v>3157</v>
      </c>
      <c r="J25" s="29">
        <f t="shared" ref="J25:J31" si="9">H25*3.04%</f>
        <v>3344</v>
      </c>
      <c r="K25" s="29">
        <f t="shared" si="7"/>
        <v>103499</v>
      </c>
      <c r="L25" s="29">
        <v>14457.42</v>
      </c>
      <c r="M25" s="29"/>
      <c r="N25" s="29"/>
      <c r="O25" s="29">
        <f>25</f>
        <v>25</v>
      </c>
      <c r="P25" s="29"/>
      <c r="Q25" s="82"/>
      <c r="R25" s="82">
        <f t="shared" ref="R25:R31" si="10">I25+L25+N25+O25+P25+J25</f>
        <v>20983.42</v>
      </c>
      <c r="S25" s="29">
        <f t="shared" si="8"/>
        <v>89016.58</v>
      </c>
    </row>
    <row r="26" spans="1:19" ht="37.15" customHeight="1" thickBot="1" x14ac:dyDescent="0.5">
      <c r="A26" s="25">
        <v>11</v>
      </c>
      <c r="B26" s="32">
        <v>44175</v>
      </c>
      <c r="C26" s="32">
        <v>45293</v>
      </c>
      <c r="D26" s="26" t="s">
        <v>23</v>
      </c>
      <c r="E26" s="90" t="s">
        <v>130</v>
      </c>
      <c r="F26" s="86" t="s">
        <v>131</v>
      </c>
      <c r="G26" s="27" t="s">
        <v>105</v>
      </c>
      <c r="H26" s="29">
        <v>85000</v>
      </c>
      <c r="I26" s="29">
        <f t="shared" si="6"/>
        <v>2439.5</v>
      </c>
      <c r="J26" s="29">
        <f t="shared" si="9"/>
        <v>2584</v>
      </c>
      <c r="K26" s="29">
        <f t="shared" si="7"/>
        <v>79976.5</v>
      </c>
      <c r="L26" s="29">
        <v>8576.99</v>
      </c>
      <c r="M26" s="29"/>
      <c r="N26" s="84"/>
      <c r="O26" s="29">
        <v>25</v>
      </c>
      <c r="P26" s="84"/>
      <c r="Q26" s="89"/>
      <c r="R26" s="82">
        <f t="shared" si="10"/>
        <v>13625.49</v>
      </c>
      <c r="S26" s="29">
        <f t="shared" si="8"/>
        <v>71374.509999999995</v>
      </c>
    </row>
    <row r="27" spans="1:19" ht="37.15" customHeight="1" thickBot="1" x14ac:dyDescent="0.5">
      <c r="A27" s="25">
        <v>12</v>
      </c>
      <c r="B27" s="32">
        <v>44564</v>
      </c>
      <c r="C27" s="32">
        <v>45294</v>
      </c>
      <c r="D27" s="26" t="s">
        <v>29</v>
      </c>
      <c r="E27" s="90" t="s">
        <v>132</v>
      </c>
      <c r="F27" s="86" t="s">
        <v>133</v>
      </c>
      <c r="G27" s="27" t="s">
        <v>105</v>
      </c>
      <c r="H27" s="29">
        <v>90000</v>
      </c>
      <c r="I27" s="29">
        <f t="shared" si="6"/>
        <v>2583</v>
      </c>
      <c r="J27" s="29">
        <f t="shared" si="9"/>
        <v>2736</v>
      </c>
      <c r="K27" s="29">
        <f t="shared" si="7"/>
        <v>84681</v>
      </c>
      <c r="L27" s="29">
        <v>9753.1200000000008</v>
      </c>
      <c r="M27" s="29">
        <v>0</v>
      </c>
      <c r="N27" s="84"/>
      <c r="O27" s="29">
        <v>25</v>
      </c>
      <c r="P27" s="84"/>
      <c r="Q27" s="89"/>
      <c r="R27" s="82">
        <f t="shared" si="10"/>
        <v>15097.12</v>
      </c>
      <c r="S27" s="29">
        <f t="shared" si="8"/>
        <v>74902.880000000005</v>
      </c>
    </row>
    <row r="28" spans="1:19" ht="37.15" customHeight="1" thickBot="1" x14ac:dyDescent="0.5">
      <c r="A28" s="25">
        <v>13</v>
      </c>
      <c r="B28" s="32">
        <v>44207</v>
      </c>
      <c r="C28" s="32">
        <v>45296</v>
      </c>
      <c r="D28" s="26" t="s">
        <v>23</v>
      </c>
      <c r="E28" s="90" t="s">
        <v>134</v>
      </c>
      <c r="F28" s="28" t="s">
        <v>135</v>
      </c>
      <c r="G28" s="27" t="s">
        <v>105</v>
      </c>
      <c r="H28" s="29">
        <v>65000</v>
      </c>
      <c r="I28" s="29">
        <f t="shared" si="6"/>
        <v>1865.5</v>
      </c>
      <c r="J28" s="29">
        <f t="shared" si="9"/>
        <v>1976</v>
      </c>
      <c r="K28" s="29">
        <f t="shared" si="7"/>
        <v>61158.5</v>
      </c>
      <c r="L28" s="29">
        <v>4427.58</v>
      </c>
      <c r="M28" s="29"/>
      <c r="N28" s="84"/>
      <c r="O28" s="29">
        <v>25</v>
      </c>
      <c r="P28" s="84"/>
      <c r="Q28" s="89"/>
      <c r="R28" s="82">
        <f t="shared" si="10"/>
        <v>8294.08</v>
      </c>
      <c r="S28" s="29">
        <f t="shared" si="8"/>
        <v>56705.919999999998</v>
      </c>
    </row>
    <row r="29" spans="1:19" ht="37.15" customHeight="1" thickBot="1" x14ac:dyDescent="0.45">
      <c r="A29" s="25">
        <v>14</v>
      </c>
      <c r="B29" s="32">
        <v>44567</v>
      </c>
      <c r="C29" s="32">
        <v>45297</v>
      </c>
      <c r="D29" s="26" t="s">
        <v>29</v>
      </c>
      <c r="E29" s="90" t="s">
        <v>136</v>
      </c>
      <c r="F29" s="28" t="s">
        <v>137</v>
      </c>
      <c r="G29" s="27" t="s">
        <v>105</v>
      </c>
      <c r="H29" s="29">
        <v>70000</v>
      </c>
      <c r="I29" s="29">
        <f t="shared" si="6"/>
        <v>2009</v>
      </c>
      <c r="J29" s="29">
        <f t="shared" si="9"/>
        <v>2128</v>
      </c>
      <c r="K29" s="29">
        <f t="shared" si="7"/>
        <v>65863</v>
      </c>
      <c r="L29" s="29">
        <v>7400.87</v>
      </c>
      <c r="M29" s="29">
        <v>0</v>
      </c>
      <c r="N29" s="84"/>
      <c r="O29" s="29">
        <f>25</f>
        <v>25</v>
      </c>
      <c r="P29" s="84"/>
      <c r="Q29" s="89"/>
      <c r="R29" s="82">
        <f t="shared" si="10"/>
        <v>11562.869999999999</v>
      </c>
      <c r="S29" s="29">
        <f t="shared" si="8"/>
        <v>58437.130000000005</v>
      </c>
    </row>
    <row r="30" spans="1:19" ht="37.15" customHeight="1" thickBot="1" x14ac:dyDescent="0.5">
      <c r="A30" s="25">
        <v>15</v>
      </c>
      <c r="B30" s="32">
        <v>44566</v>
      </c>
      <c r="C30" s="32">
        <v>45296</v>
      </c>
      <c r="D30" s="26" t="s">
        <v>29</v>
      </c>
      <c r="E30" s="90" t="s">
        <v>138</v>
      </c>
      <c r="F30" s="28" t="s">
        <v>139</v>
      </c>
      <c r="G30" s="27" t="s">
        <v>105</v>
      </c>
      <c r="H30" s="29">
        <v>67500</v>
      </c>
      <c r="I30" s="29">
        <f t="shared" si="6"/>
        <v>1937.25</v>
      </c>
      <c r="J30" s="29">
        <f t="shared" si="9"/>
        <v>2052</v>
      </c>
      <c r="K30" s="29">
        <f t="shared" si="7"/>
        <v>63510.75</v>
      </c>
      <c r="L30" s="29">
        <v>4898.03</v>
      </c>
      <c r="M30" s="29"/>
      <c r="N30" s="84"/>
      <c r="O30" s="29">
        <f>25</f>
        <v>25</v>
      </c>
      <c r="P30" s="84"/>
      <c r="Q30" s="89"/>
      <c r="R30" s="82">
        <f t="shared" si="10"/>
        <v>8912.2799999999988</v>
      </c>
      <c r="S30" s="29">
        <f t="shared" si="8"/>
        <v>58587.72</v>
      </c>
    </row>
    <row r="31" spans="1:19" ht="37.15" customHeight="1" thickBot="1" x14ac:dyDescent="0.5">
      <c r="A31" s="25">
        <v>16</v>
      </c>
      <c r="B31" s="32">
        <v>44936</v>
      </c>
      <c r="C31" s="32">
        <v>45295</v>
      </c>
      <c r="D31" s="26" t="s">
        <v>29</v>
      </c>
      <c r="E31" s="90" t="s">
        <v>140</v>
      </c>
      <c r="F31" s="28" t="s">
        <v>141</v>
      </c>
      <c r="G31" s="27" t="s">
        <v>142</v>
      </c>
      <c r="H31" s="29">
        <v>100000</v>
      </c>
      <c r="I31" s="29">
        <f t="shared" si="6"/>
        <v>2870</v>
      </c>
      <c r="J31" s="29">
        <f t="shared" si="9"/>
        <v>3040</v>
      </c>
      <c r="K31" s="29">
        <f t="shared" si="7"/>
        <v>94090</v>
      </c>
      <c r="L31" s="29">
        <v>12105.44</v>
      </c>
      <c r="M31" s="29"/>
      <c r="N31" s="84"/>
      <c r="O31" s="29">
        <v>25</v>
      </c>
      <c r="P31" s="84"/>
      <c r="Q31" s="89"/>
      <c r="R31" s="82">
        <f t="shared" si="10"/>
        <v>18040.440000000002</v>
      </c>
      <c r="S31" s="29">
        <f t="shared" si="8"/>
        <v>81959.56</v>
      </c>
    </row>
    <row r="32" spans="1:19" ht="48.6" customHeight="1" thickBot="1" x14ac:dyDescent="0.5">
      <c r="A32" s="25"/>
      <c r="B32" s="148" t="s">
        <v>123</v>
      </c>
      <c r="C32" s="149"/>
      <c r="D32" s="149"/>
      <c r="E32" s="149"/>
      <c r="F32" s="150"/>
      <c r="G32" s="88"/>
      <c r="H32" s="91">
        <f>H24+H25+H26+H28+H27+H29+H30+H31</f>
        <v>832500</v>
      </c>
      <c r="I32" s="91">
        <f t="shared" ref="I32:S32" si="11">I24+I25+I26+I28+I27+I29+I30+I31</f>
        <v>23892.75</v>
      </c>
      <c r="J32" s="91">
        <f t="shared" si="11"/>
        <v>23743.16</v>
      </c>
      <c r="K32" s="91">
        <f t="shared" si="11"/>
        <v>784864.09</v>
      </c>
      <c r="L32" s="91">
        <f t="shared" si="11"/>
        <v>108223.65</v>
      </c>
      <c r="M32" s="91">
        <f t="shared" si="11"/>
        <v>0</v>
      </c>
      <c r="N32" s="91">
        <f t="shared" si="11"/>
        <v>0</v>
      </c>
      <c r="O32" s="91">
        <f t="shared" si="11"/>
        <v>200</v>
      </c>
      <c r="P32" s="91">
        <f t="shared" si="11"/>
        <v>0</v>
      </c>
      <c r="Q32" s="91">
        <f t="shared" si="11"/>
        <v>0</v>
      </c>
      <c r="R32" s="91">
        <f t="shared" si="11"/>
        <v>156059.56</v>
      </c>
      <c r="S32" s="91">
        <f t="shared" si="11"/>
        <v>676440.44</v>
      </c>
    </row>
    <row r="33" spans="1:19" ht="37.15" customHeight="1" thickBot="1" x14ac:dyDescent="0.5">
      <c r="A33" s="25"/>
      <c r="B33" s="157" t="s">
        <v>143</v>
      </c>
      <c r="C33" s="158"/>
      <c r="D33" s="158"/>
      <c r="E33" s="159"/>
      <c r="F33" s="35"/>
      <c r="G33" s="88"/>
      <c r="H33" s="84"/>
      <c r="I33" s="84"/>
      <c r="J33" s="84"/>
      <c r="K33" s="84"/>
      <c r="L33" s="84"/>
      <c r="M33" s="84"/>
      <c r="N33" s="84"/>
      <c r="O33" s="84"/>
      <c r="P33" s="84"/>
      <c r="Q33" s="89"/>
      <c r="R33" s="89"/>
      <c r="S33" s="84"/>
    </row>
    <row r="34" spans="1:19" ht="38.450000000000003" customHeight="1" thickBot="1" x14ac:dyDescent="0.45">
      <c r="A34" s="25">
        <v>17</v>
      </c>
      <c r="B34" s="32" t="s">
        <v>22</v>
      </c>
      <c r="C34" s="32">
        <v>45293</v>
      </c>
      <c r="D34" s="26" t="s">
        <v>29</v>
      </c>
      <c r="E34" s="90" t="s">
        <v>144</v>
      </c>
      <c r="F34" s="86" t="s">
        <v>145</v>
      </c>
      <c r="G34" s="27" t="s">
        <v>105</v>
      </c>
      <c r="H34" s="29">
        <v>245000</v>
      </c>
      <c r="I34" s="29">
        <f t="shared" ref="I34:I40" si="12">H34*2.87%</f>
        <v>7031.5</v>
      </c>
      <c r="J34" s="29">
        <f>193525*3.04%</f>
        <v>5883.16</v>
      </c>
      <c r="K34" s="29">
        <f t="shared" ref="K34:K40" si="13">H34-I34-J34</f>
        <v>232085.34</v>
      </c>
      <c r="L34" s="29">
        <v>46604.2</v>
      </c>
      <c r="M34" s="29"/>
      <c r="N34" s="29"/>
      <c r="O34" s="29">
        <v>25</v>
      </c>
      <c r="P34" s="29"/>
      <c r="Q34" s="82">
        <v>0</v>
      </c>
      <c r="R34" s="82">
        <f>I34+J34+N34+O34+P34+L34-Q34</f>
        <v>59543.86</v>
      </c>
      <c r="S34" s="29">
        <f t="shared" ref="S34:S40" si="14">H34-R34</f>
        <v>185456.14</v>
      </c>
    </row>
    <row r="35" spans="1:19" ht="57.75" thickBot="1" x14ac:dyDescent="0.45">
      <c r="A35" s="25">
        <v>18</v>
      </c>
      <c r="B35" s="32">
        <v>44198</v>
      </c>
      <c r="C35" s="32">
        <v>45293</v>
      </c>
      <c r="D35" s="26" t="s">
        <v>29</v>
      </c>
      <c r="E35" s="90" t="s">
        <v>146</v>
      </c>
      <c r="F35" s="92" t="s">
        <v>147</v>
      </c>
      <c r="G35" s="93" t="s">
        <v>105</v>
      </c>
      <c r="H35" s="29">
        <v>150000</v>
      </c>
      <c r="I35" s="29">
        <f t="shared" si="12"/>
        <v>4305</v>
      </c>
      <c r="J35" s="29">
        <f t="shared" ref="J35:J40" si="15">H35*3.04%</f>
        <v>4560</v>
      </c>
      <c r="K35" s="29">
        <f t="shared" si="13"/>
        <v>141135</v>
      </c>
      <c r="L35" s="29">
        <v>23866.69</v>
      </c>
      <c r="M35" s="94"/>
      <c r="N35" s="95"/>
      <c r="O35" s="29">
        <v>25</v>
      </c>
      <c r="P35" s="29"/>
      <c r="Q35" s="82">
        <v>2148.0100000000002</v>
      </c>
      <c r="R35" s="82">
        <f>I35+J35+N35+O35+P35+L35-Q35</f>
        <v>30608.68</v>
      </c>
      <c r="S35" s="29">
        <f t="shared" si="14"/>
        <v>119391.32</v>
      </c>
    </row>
    <row r="36" spans="1:19" ht="38.450000000000003" customHeight="1" thickBot="1" x14ac:dyDescent="0.45">
      <c r="A36" s="25">
        <v>19</v>
      </c>
      <c r="B36" s="32">
        <v>44621</v>
      </c>
      <c r="C36" s="32">
        <v>44997</v>
      </c>
      <c r="D36" s="26" t="s">
        <v>23</v>
      </c>
      <c r="E36" s="90" t="s">
        <v>148</v>
      </c>
      <c r="F36" s="86" t="s">
        <v>149</v>
      </c>
      <c r="G36" s="93" t="s">
        <v>105</v>
      </c>
      <c r="H36" s="29">
        <v>95000</v>
      </c>
      <c r="I36" s="29">
        <f t="shared" si="12"/>
        <v>2726.5</v>
      </c>
      <c r="J36" s="29">
        <f t="shared" si="15"/>
        <v>2888</v>
      </c>
      <c r="K36" s="29">
        <f t="shared" si="13"/>
        <v>89385.5</v>
      </c>
      <c r="L36" s="29">
        <v>9753.1200000000008</v>
      </c>
      <c r="M36" s="29"/>
      <c r="N36" s="29"/>
      <c r="O36" s="29">
        <v>25</v>
      </c>
      <c r="P36" s="29"/>
      <c r="Q36" s="82"/>
      <c r="R36" s="82">
        <f t="shared" ref="R36:R40" si="16">I36+J36+N36+O36+P36+L36</f>
        <v>15392.62</v>
      </c>
      <c r="S36" s="29">
        <f t="shared" si="14"/>
        <v>79607.38</v>
      </c>
    </row>
    <row r="37" spans="1:19" ht="37.15" customHeight="1" thickBot="1" x14ac:dyDescent="0.45">
      <c r="A37" s="25">
        <v>20</v>
      </c>
      <c r="B37" s="32">
        <v>44198</v>
      </c>
      <c r="C37" s="32">
        <v>45293</v>
      </c>
      <c r="D37" s="26" t="s">
        <v>23</v>
      </c>
      <c r="E37" s="90" t="s">
        <v>150</v>
      </c>
      <c r="F37" s="86" t="s">
        <v>151</v>
      </c>
      <c r="G37" s="27" t="s">
        <v>105</v>
      </c>
      <c r="H37" s="29">
        <v>60000</v>
      </c>
      <c r="I37" s="29">
        <f t="shared" si="12"/>
        <v>1722</v>
      </c>
      <c r="J37" s="29">
        <f t="shared" si="15"/>
        <v>1824</v>
      </c>
      <c r="K37" s="29">
        <f t="shared" si="13"/>
        <v>56454</v>
      </c>
      <c r="L37" s="29">
        <v>3483.0699999999997</v>
      </c>
      <c r="M37" s="29"/>
      <c r="N37" s="29"/>
      <c r="O37" s="29">
        <v>25</v>
      </c>
      <c r="P37" s="29"/>
      <c r="Q37" s="82"/>
      <c r="R37" s="82">
        <f>I37+J37+N37+O37+P37+L37</f>
        <v>7054.07</v>
      </c>
      <c r="S37" s="29">
        <f t="shared" si="14"/>
        <v>52945.93</v>
      </c>
    </row>
    <row r="38" spans="1:19" ht="37.15" customHeight="1" thickBot="1" x14ac:dyDescent="0.45">
      <c r="A38" s="25">
        <v>21</v>
      </c>
      <c r="B38" s="32">
        <v>44206</v>
      </c>
      <c r="C38" s="32">
        <v>45293</v>
      </c>
      <c r="D38" s="26" t="s">
        <v>29</v>
      </c>
      <c r="E38" s="90" t="s">
        <v>152</v>
      </c>
      <c r="F38" s="86" t="s">
        <v>149</v>
      </c>
      <c r="G38" s="27" t="s">
        <v>105</v>
      </c>
      <c r="H38" s="29">
        <v>75000</v>
      </c>
      <c r="I38" s="29">
        <f t="shared" si="12"/>
        <v>2152.5</v>
      </c>
      <c r="J38" s="29">
        <f t="shared" si="15"/>
        <v>2280</v>
      </c>
      <c r="K38" s="29">
        <f t="shared" si="13"/>
        <v>70567.5</v>
      </c>
      <c r="L38" s="29">
        <v>6309.38</v>
      </c>
      <c r="M38" s="29">
        <v>0</v>
      </c>
      <c r="N38" s="29"/>
      <c r="O38" s="29">
        <v>25</v>
      </c>
      <c r="P38" s="29"/>
      <c r="Q38" s="82"/>
      <c r="R38" s="82">
        <f t="shared" si="16"/>
        <v>10766.880000000001</v>
      </c>
      <c r="S38" s="29">
        <f t="shared" si="14"/>
        <v>64233.119999999995</v>
      </c>
    </row>
    <row r="39" spans="1:19" ht="37.15" customHeight="1" thickBot="1" x14ac:dyDescent="0.45">
      <c r="A39" s="25">
        <v>22</v>
      </c>
      <c r="B39" s="32">
        <v>44198</v>
      </c>
      <c r="C39" s="32">
        <v>45297</v>
      </c>
      <c r="D39" s="26" t="s">
        <v>29</v>
      </c>
      <c r="E39" s="90" t="s">
        <v>153</v>
      </c>
      <c r="F39" s="86" t="s">
        <v>149</v>
      </c>
      <c r="G39" s="27" t="s">
        <v>105</v>
      </c>
      <c r="H39" s="29">
        <v>95000</v>
      </c>
      <c r="I39" s="29">
        <f t="shared" si="12"/>
        <v>2726.5</v>
      </c>
      <c r="J39" s="29">
        <f t="shared" si="15"/>
        <v>2888</v>
      </c>
      <c r="K39" s="29">
        <f t="shared" si="13"/>
        <v>89385.5</v>
      </c>
      <c r="L39" s="29">
        <v>10929.24</v>
      </c>
      <c r="M39" s="29"/>
      <c r="N39" s="29"/>
      <c r="O39" s="29">
        <v>25</v>
      </c>
      <c r="P39" s="29">
        <v>4602.7</v>
      </c>
      <c r="Q39" s="82"/>
      <c r="R39" s="82">
        <f t="shared" si="16"/>
        <v>21171.440000000002</v>
      </c>
      <c r="S39" s="29">
        <f t="shared" si="14"/>
        <v>73828.56</v>
      </c>
    </row>
    <row r="40" spans="1:19" ht="37.15" customHeight="1" thickBot="1" x14ac:dyDescent="0.45">
      <c r="A40" s="25">
        <v>23</v>
      </c>
      <c r="B40" s="32">
        <v>44938</v>
      </c>
      <c r="C40" s="32">
        <v>45297</v>
      </c>
      <c r="D40" s="26" t="s">
        <v>23</v>
      </c>
      <c r="E40" s="90" t="s">
        <v>154</v>
      </c>
      <c r="F40" s="86" t="s">
        <v>149</v>
      </c>
      <c r="G40" s="27" t="s">
        <v>105</v>
      </c>
      <c r="H40" s="29">
        <v>95000</v>
      </c>
      <c r="I40" s="29">
        <f t="shared" si="12"/>
        <v>2726.5</v>
      </c>
      <c r="J40" s="29">
        <f t="shared" si="15"/>
        <v>2888</v>
      </c>
      <c r="K40" s="29">
        <f t="shared" si="13"/>
        <v>89385.5</v>
      </c>
      <c r="L40" s="29">
        <v>10929.24</v>
      </c>
      <c r="M40" s="29"/>
      <c r="N40" s="29"/>
      <c r="O40" s="29">
        <v>25</v>
      </c>
      <c r="P40" s="29">
        <v>4602.7</v>
      </c>
      <c r="Q40" s="82"/>
      <c r="R40" s="82">
        <f t="shared" si="16"/>
        <v>21171.440000000002</v>
      </c>
      <c r="S40" s="29">
        <f t="shared" si="14"/>
        <v>73828.56</v>
      </c>
    </row>
    <row r="41" spans="1:19" ht="48.6" customHeight="1" thickBot="1" x14ac:dyDescent="0.45">
      <c r="A41" s="25"/>
      <c r="B41" s="148" t="s">
        <v>123</v>
      </c>
      <c r="C41" s="149"/>
      <c r="D41" s="149"/>
      <c r="E41" s="149"/>
      <c r="F41" s="150"/>
      <c r="G41" s="88"/>
      <c r="H41" s="85">
        <f>H34+H35+H37+H38+H36+H39+H40</f>
        <v>815000</v>
      </c>
      <c r="I41" s="85">
        <f t="shared" ref="I41:S41" si="17">I34+I35+I37+I38+I36+I39+I40</f>
        <v>23390.5</v>
      </c>
      <c r="J41" s="85">
        <f t="shared" si="17"/>
        <v>23211.16</v>
      </c>
      <c r="K41" s="85">
        <f t="shared" si="17"/>
        <v>768398.34</v>
      </c>
      <c r="L41" s="85">
        <f t="shared" si="17"/>
        <v>111874.94</v>
      </c>
      <c r="M41" s="85">
        <f t="shared" si="17"/>
        <v>0</v>
      </c>
      <c r="N41" s="85">
        <f t="shared" si="17"/>
        <v>0</v>
      </c>
      <c r="O41" s="85">
        <f t="shared" si="17"/>
        <v>175</v>
      </c>
      <c r="P41" s="85">
        <f t="shared" si="17"/>
        <v>9205.4</v>
      </c>
      <c r="Q41" s="85">
        <f t="shared" si="17"/>
        <v>2148.0100000000002</v>
      </c>
      <c r="R41" s="85">
        <f t="shared" si="17"/>
        <v>165708.99000000002</v>
      </c>
      <c r="S41" s="85">
        <f t="shared" si="17"/>
        <v>649291.01</v>
      </c>
    </row>
    <row r="42" spans="1:19" ht="48.6" customHeight="1" thickBot="1" x14ac:dyDescent="0.45">
      <c r="A42" s="25"/>
      <c r="B42" s="157" t="s">
        <v>155</v>
      </c>
      <c r="C42" s="158"/>
      <c r="D42" s="158"/>
      <c r="E42" s="159"/>
      <c r="F42" s="35"/>
      <c r="G42" s="88"/>
      <c r="H42" s="84"/>
      <c r="I42" s="84"/>
      <c r="J42" s="84"/>
      <c r="K42" s="84"/>
      <c r="L42" s="84"/>
      <c r="M42" s="84"/>
      <c r="N42" s="84"/>
      <c r="O42" s="29"/>
      <c r="P42" s="84"/>
      <c r="Q42" s="89"/>
      <c r="R42" s="89"/>
      <c r="S42" s="84"/>
    </row>
    <row r="43" spans="1:19" ht="37.15" customHeight="1" thickBot="1" x14ac:dyDescent="0.45">
      <c r="A43" s="25">
        <v>24</v>
      </c>
      <c r="B43" s="32" t="s">
        <v>22</v>
      </c>
      <c r="C43" s="32">
        <v>45296</v>
      </c>
      <c r="D43" s="26" t="s">
        <v>23</v>
      </c>
      <c r="E43" s="90" t="s">
        <v>156</v>
      </c>
      <c r="F43" s="86" t="s">
        <v>157</v>
      </c>
      <c r="G43" s="27" t="s">
        <v>105</v>
      </c>
      <c r="H43" s="29">
        <v>225000</v>
      </c>
      <c r="I43" s="29">
        <f t="shared" ref="I43:I56" si="18">H43*2.87%</f>
        <v>6457.5</v>
      </c>
      <c r="J43" s="29">
        <f>193525*3.04%</f>
        <v>5883.16</v>
      </c>
      <c r="K43" s="29">
        <f t="shared" ref="K43:K56" si="19">H43-I43-J43</f>
        <v>212659.34</v>
      </c>
      <c r="L43" s="29">
        <v>41797.19</v>
      </c>
      <c r="M43" s="29"/>
      <c r="N43" s="84"/>
      <c r="O43" s="29">
        <v>25</v>
      </c>
      <c r="P43" s="84"/>
      <c r="Q43" s="89"/>
      <c r="R43" s="82">
        <f t="shared" ref="R43:R56" si="20">I43+J43+N337+L43+N43+O43+P43</f>
        <v>54162.850000000006</v>
      </c>
      <c r="S43" s="29">
        <f t="shared" ref="S43:S56" si="21">H43-R43</f>
        <v>170837.15</v>
      </c>
    </row>
    <row r="44" spans="1:19" ht="37.15" customHeight="1" thickBot="1" x14ac:dyDescent="0.45">
      <c r="A44" s="25">
        <v>25</v>
      </c>
      <c r="B44" s="32">
        <v>43872</v>
      </c>
      <c r="C44" s="32">
        <v>45296</v>
      </c>
      <c r="D44" s="26" t="s">
        <v>23</v>
      </c>
      <c r="E44" s="90" t="s">
        <v>158</v>
      </c>
      <c r="F44" s="86" t="s">
        <v>159</v>
      </c>
      <c r="G44" s="27" t="s">
        <v>105</v>
      </c>
      <c r="H44" s="29">
        <v>135000</v>
      </c>
      <c r="I44" s="29">
        <f t="shared" si="18"/>
        <v>3874.5</v>
      </c>
      <c r="J44" s="29">
        <f t="shared" ref="J44:J56" si="22">H44*3.04%</f>
        <v>4104</v>
      </c>
      <c r="K44" s="29">
        <f t="shared" si="19"/>
        <v>127021.5</v>
      </c>
      <c r="L44" s="29">
        <v>20338.189999999999</v>
      </c>
      <c r="M44" s="29"/>
      <c r="N44" s="84"/>
      <c r="O44" s="29">
        <v>25</v>
      </c>
      <c r="P44" s="84"/>
      <c r="Q44" s="89"/>
      <c r="R44" s="82">
        <f t="shared" si="20"/>
        <v>28341.69</v>
      </c>
      <c r="S44" s="29">
        <f t="shared" si="21"/>
        <v>106658.31</v>
      </c>
    </row>
    <row r="45" spans="1:19" ht="37.15" customHeight="1" thickBot="1" x14ac:dyDescent="0.45">
      <c r="A45" s="25">
        <v>26</v>
      </c>
      <c r="B45" s="26" t="s">
        <v>160</v>
      </c>
      <c r="C45" s="96">
        <v>45296</v>
      </c>
      <c r="D45" s="96" t="s">
        <v>29</v>
      </c>
      <c r="E45" s="90" t="s">
        <v>161</v>
      </c>
      <c r="F45" s="97" t="s">
        <v>162</v>
      </c>
      <c r="G45" s="27" t="s">
        <v>105</v>
      </c>
      <c r="H45" s="29">
        <v>110000</v>
      </c>
      <c r="I45" s="29">
        <f t="shared" si="18"/>
        <v>3157</v>
      </c>
      <c r="J45" s="29">
        <f t="shared" si="22"/>
        <v>3344</v>
      </c>
      <c r="K45" s="29">
        <f t="shared" si="19"/>
        <v>103499</v>
      </c>
      <c r="L45" s="29">
        <v>14457.62</v>
      </c>
      <c r="M45" s="29"/>
      <c r="N45" s="84"/>
      <c r="O45" s="29">
        <v>25</v>
      </c>
      <c r="P45" s="84"/>
      <c r="Q45" s="89"/>
      <c r="R45" s="82">
        <f t="shared" si="20"/>
        <v>20983.620000000003</v>
      </c>
      <c r="S45" s="29">
        <f t="shared" si="21"/>
        <v>89016.38</v>
      </c>
    </row>
    <row r="46" spans="1:19" ht="37.15" customHeight="1" thickBot="1" x14ac:dyDescent="0.45">
      <c r="A46" s="25">
        <v>27</v>
      </c>
      <c r="B46" s="32">
        <v>44199</v>
      </c>
      <c r="C46" s="26">
        <v>45296</v>
      </c>
      <c r="D46" s="96" t="s">
        <v>29</v>
      </c>
      <c r="E46" s="90" t="s">
        <v>163</v>
      </c>
      <c r="F46" s="97" t="s">
        <v>164</v>
      </c>
      <c r="G46" s="27" t="s">
        <v>105</v>
      </c>
      <c r="H46" s="29">
        <v>90000</v>
      </c>
      <c r="I46" s="29">
        <f t="shared" si="18"/>
        <v>2583</v>
      </c>
      <c r="J46" s="29">
        <f t="shared" si="22"/>
        <v>2736</v>
      </c>
      <c r="K46" s="29">
        <f t="shared" si="19"/>
        <v>84681</v>
      </c>
      <c r="L46" s="29">
        <v>9324.25</v>
      </c>
      <c r="M46" s="29"/>
      <c r="N46" s="29">
        <v>1715.46</v>
      </c>
      <c r="O46" s="29">
        <v>25</v>
      </c>
      <c r="P46" s="84"/>
      <c r="Q46" s="89"/>
      <c r="R46" s="82">
        <f t="shared" si="20"/>
        <v>16383.71</v>
      </c>
      <c r="S46" s="29">
        <f t="shared" si="21"/>
        <v>73616.290000000008</v>
      </c>
    </row>
    <row r="47" spans="1:19" ht="37.15" customHeight="1" thickBot="1" x14ac:dyDescent="0.45">
      <c r="A47" s="25">
        <v>28</v>
      </c>
      <c r="B47" s="32" t="s">
        <v>51</v>
      </c>
      <c r="C47" s="32">
        <v>45296</v>
      </c>
      <c r="D47" s="26" t="s">
        <v>29</v>
      </c>
      <c r="E47" s="90" t="s">
        <v>165</v>
      </c>
      <c r="F47" s="86" t="s">
        <v>166</v>
      </c>
      <c r="G47" s="27" t="s">
        <v>105</v>
      </c>
      <c r="H47" s="29">
        <v>70000</v>
      </c>
      <c r="I47" s="29">
        <f t="shared" si="18"/>
        <v>2009</v>
      </c>
      <c r="J47" s="29">
        <f t="shared" si="22"/>
        <v>2128</v>
      </c>
      <c r="K47" s="29">
        <f t="shared" si="19"/>
        <v>65863</v>
      </c>
      <c r="L47" s="29">
        <v>5368.48</v>
      </c>
      <c r="M47" s="29">
        <v>0</v>
      </c>
      <c r="N47" s="84"/>
      <c r="O47" s="29">
        <v>25</v>
      </c>
      <c r="P47" s="29">
        <v>3351.29</v>
      </c>
      <c r="Q47" s="89"/>
      <c r="R47" s="82">
        <f t="shared" si="20"/>
        <v>12881.77</v>
      </c>
      <c r="S47" s="29">
        <f t="shared" si="21"/>
        <v>57118.229999999996</v>
      </c>
    </row>
    <row r="48" spans="1:19" ht="37.15" customHeight="1" thickBot="1" x14ac:dyDescent="0.45">
      <c r="A48" s="25">
        <v>29</v>
      </c>
      <c r="B48" s="32">
        <v>44207</v>
      </c>
      <c r="C48" s="32">
        <v>45294</v>
      </c>
      <c r="D48" s="26" t="s">
        <v>29</v>
      </c>
      <c r="E48" s="90" t="s">
        <v>167</v>
      </c>
      <c r="F48" s="86" t="s">
        <v>162</v>
      </c>
      <c r="G48" s="27" t="s">
        <v>105</v>
      </c>
      <c r="H48" s="29">
        <v>70000</v>
      </c>
      <c r="I48" s="29">
        <f t="shared" si="18"/>
        <v>2009</v>
      </c>
      <c r="J48" s="29">
        <f t="shared" si="22"/>
        <v>2128</v>
      </c>
      <c r="K48" s="29">
        <f t="shared" si="19"/>
        <v>65863</v>
      </c>
      <c r="L48" s="29">
        <v>5368.45</v>
      </c>
      <c r="M48" s="29"/>
      <c r="N48" s="84"/>
      <c r="O48" s="29">
        <v>25</v>
      </c>
      <c r="P48" s="84"/>
      <c r="Q48" s="89"/>
      <c r="R48" s="82">
        <f t="shared" si="20"/>
        <v>9530.4500000000007</v>
      </c>
      <c r="S48" s="29">
        <f t="shared" si="21"/>
        <v>60469.55</v>
      </c>
    </row>
    <row r="49" spans="1:19" ht="37.15" customHeight="1" thickBot="1" x14ac:dyDescent="0.45">
      <c r="A49" s="25">
        <v>30</v>
      </c>
      <c r="B49" s="32">
        <v>44621</v>
      </c>
      <c r="C49" s="32">
        <v>45357</v>
      </c>
      <c r="D49" s="26" t="s">
        <v>23</v>
      </c>
      <c r="E49" s="90" t="s">
        <v>168</v>
      </c>
      <c r="F49" s="86" t="s">
        <v>169</v>
      </c>
      <c r="G49" s="27" t="s">
        <v>105</v>
      </c>
      <c r="H49" s="29">
        <v>82000</v>
      </c>
      <c r="I49" s="29">
        <f t="shared" si="18"/>
        <v>2353.4</v>
      </c>
      <c r="J49" s="29">
        <f t="shared" si="22"/>
        <v>2492.8000000000002</v>
      </c>
      <c r="K49" s="29">
        <f t="shared" si="19"/>
        <v>77153.8</v>
      </c>
      <c r="L49" s="29">
        <v>7871.32</v>
      </c>
      <c r="M49" s="29">
        <v>0</v>
      </c>
      <c r="N49" s="84"/>
      <c r="O49" s="29">
        <v>25</v>
      </c>
      <c r="P49" s="84"/>
      <c r="Q49" s="89"/>
      <c r="R49" s="82">
        <f t="shared" si="20"/>
        <v>12742.52</v>
      </c>
      <c r="S49" s="29">
        <f t="shared" si="21"/>
        <v>69257.48</v>
      </c>
    </row>
    <row r="50" spans="1:19" ht="37.15" customHeight="1" thickBot="1" x14ac:dyDescent="0.45">
      <c r="A50" s="25">
        <v>31</v>
      </c>
      <c r="B50" s="32">
        <v>44621</v>
      </c>
      <c r="C50" s="32">
        <v>44997</v>
      </c>
      <c r="D50" s="26" t="s">
        <v>29</v>
      </c>
      <c r="E50" s="90" t="s">
        <v>170</v>
      </c>
      <c r="F50" s="86" t="s">
        <v>137</v>
      </c>
      <c r="G50" s="27" t="s">
        <v>105</v>
      </c>
      <c r="H50" s="29">
        <v>60000</v>
      </c>
      <c r="I50" s="29">
        <f t="shared" si="18"/>
        <v>1722</v>
      </c>
      <c r="J50" s="29">
        <f t="shared" si="22"/>
        <v>1824</v>
      </c>
      <c r="K50" s="29">
        <f t="shared" si="19"/>
        <v>56454</v>
      </c>
      <c r="L50" s="29">
        <f>3486.68-M50</f>
        <v>3486.68</v>
      </c>
      <c r="M50" s="29">
        <v>0</v>
      </c>
      <c r="N50" s="84"/>
      <c r="O50" s="29">
        <v>25</v>
      </c>
      <c r="P50" s="84"/>
      <c r="Q50" s="89"/>
      <c r="R50" s="82">
        <f t="shared" si="20"/>
        <v>7057.68</v>
      </c>
      <c r="S50" s="29">
        <f t="shared" si="21"/>
        <v>52942.32</v>
      </c>
    </row>
    <row r="51" spans="1:19" ht="37.15" customHeight="1" thickBot="1" x14ac:dyDescent="0.45">
      <c r="A51" s="25">
        <v>32</v>
      </c>
      <c r="B51" s="32">
        <v>44563</v>
      </c>
      <c r="C51" s="26">
        <v>45292</v>
      </c>
      <c r="D51" s="26" t="s">
        <v>29</v>
      </c>
      <c r="E51" s="90" t="s">
        <v>171</v>
      </c>
      <c r="F51" s="90" t="s">
        <v>137</v>
      </c>
      <c r="G51" s="27" t="s">
        <v>105</v>
      </c>
      <c r="H51" s="29">
        <v>60000</v>
      </c>
      <c r="I51" s="29">
        <f t="shared" si="18"/>
        <v>1722</v>
      </c>
      <c r="J51" s="29">
        <f t="shared" si="22"/>
        <v>1824</v>
      </c>
      <c r="K51" s="29">
        <f t="shared" si="19"/>
        <v>56454</v>
      </c>
      <c r="L51" s="29">
        <v>3486.68</v>
      </c>
      <c r="M51" s="29">
        <v>0</v>
      </c>
      <c r="N51" s="84"/>
      <c r="O51" s="29">
        <f>25</f>
        <v>25</v>
      </c>
      <c r="P51" s="84"/>
      <c r="Q51" s="89"/>
      <c r="R51" s="82">
        <f t="shared" si="20"/>
        <v>7057.68</v>
      </c>
      <c r="S51" s="29">
        <f t="shared" si="21"/>
        <v>52942.32</v>
      </c>
    </row>
    <row r="52" spans="1:19" ht="37.15" customHeight="1" thickBot="1" x14ac:dyDescent="0.45">
      <c r="A52" s="25">
        <v>33</v>
      </c>
      <c r="B52" s="26">
        <v>44564</v>
      </c>
      <c r="C52" s="39">
        <v>45297</v>
      </c>
      <c r="D52" s="26" t="s">
        <v>29</v>
      </c>
      <c r="E52" s="90" t="s">
        <v>172</v>
      </c>
      <c r="F52" s="90" t="s">
        <v>137</v>
      </c>
      <c r="G52" s="27" t="s">
        <v>105</v>
      </c>
      <c r="H52" s="29">
        <v>70000</v>
      </c>
      <c r="I52" s="29">
        <f t="shared" si="18"/>
        <v>2009</v>
      </c>
      <c r="J52" s="29">
        <f t="shared" si="22"/>
        <v>2128</v>
      </c>
      <c r="K52" s="29">
        <f t="shared" si="19"/>
        <v>65863</v>
      </c>
      <c r="L52" s="29">
        <v>5368.48</v>
      </c>
      <c r="M52" s="29"/>
      <c r="N52" s="84"/>
      <c r="O52" s="29">
        <v>25</v>
      </c>
      <c r="P52" s="84"/>
      <c r="Q52" s="89"/>
      <c r="R52" s="82">
        <f t="shared" si="20"/>
        <v>9530.48</v>
      </c>
      <c r="S52" s="29">
        <f t="shared" si="21"/>
        <v>60469.520000000004</v>
      </c>
    </row>
    <row r="53" spans="1:19" ht="37.15" customHeight="1" thickBot="1" x14ac:dyDescent="0.45">
      <c r="A53" s="25">
        <v>34</v>
      </c>
      <c r="B53" s="26">
        <v>44564</v>
      </c>
      <c r="C53" s="39">
        <v>45297</v>
      </c>
      <c r="D53" s="26" t="s">
        <v>29</v>
      </c>
      <c r="E53" s="90" t="s">
        <v>173</v>
      </c>
      <c r="F53" s="90" t="s">
        <v>137</v>
      </c>
      <c r="G53" s="27" t="s">
        <v>105</v>
      </c>
      <c r="H53" s="29">
        <v>50000</v>
      </c>
      <c r="I53" s="29">
        <f t="shared" si="18"/>
        <v>1435</v>
      </c>
      <c r="J53" s="29">
        <f t="shared" si="22"/>
        <v>1520</v>
      </c>
      <c r="K53" s="29">
        <f t="shared" si="19"/>
        <v>47045</v>
      </c>
      <c r="L53" s="29">
        <v>1854</v>
      </c>
      <c r="M53" s="29">
        <v>0</v>
      </c>
      <c r="N53" s="84"/>
      <c r="O53" s="29">
        <f>25</f>
        <v>25</v>
      </c>
      <c r="P53" s="84"/>
      <c r="Q53" s="89"/>
      <c r="R53" s="82">
        <f t="shared" si="20"/>
        <v>4834</v>
      </c>
      <c r="S53" s="29">
        <f t="shared" si="21"/>
        <v>45166</v>
      </c>
    </row>
    <row r="54" spans="1:19" ht="37.15" customHeight="1" thickBot="1" x14ac:dyDescent="0.45">
      <c r="A54" s="25">
        <v>35</v>
      </c>
      <c r="B54" s="26">
        <v>44566</v>
      </c>
      <c r="C54" s="39">
        <v>45295</v>
      </c>
      <c r="D54" s="26" t="s">
        <v>29</v>
      </c>
      <c r="E54" s="90" t="s">
        <v>174</v>
      </c>
      <c r="F54" s="90" t="s">
        <v>162</v>
      </c>
      <c r="G54" s="27" t="s">
        <v>105</v>
      </c>
      <c r="H54" s="29">
        <v>85000</v>
      </c>
      <c r="I54" s="29">
        <f t="shared" si="18"/>
        <v>2439.5</v>
      </c>
      <c r="J54" s="29">
        <f t="shared" si="22"/>
        <v>2584</v>
      </c>
      <c r="K54" s="29">
        <f t="shared" si="19"/>
        <v>79976.5</v>
      </c>
      <c r="L54" s="29">
        <v>8576.99</v>
      </c>
      <c r="M54" s="29"/>
      <c r="N54" s="84"/>
      <c r="O54" s="29">
        <v>25</v>
      </c>
      <c r="P54" s="84"/>
      <c r="Q54" s="89"/>
      <c r="R54" s="82">
        <f t="shared" si="20"/>
        <v>13625.49</v>
      </c>
      <c r="S54" s="29">
        <f t="shared" si="21"/>
        <v>71374.509999999995</v>
      </c>
    </row>
    <row r="55" spans="1:19" ht="37.15" customHeight="1" thickBot="1" x14ac:dyDescent="0.45">
      <c r="A55" s="25">
        <v>36</v>
      </c>
      <c r="B55" s="26">
        <v>44621</v>
      </c>
      <c r="C55" s="39">
        <v>45357</v>
      </c>
      <c r="D55" s="26" t="s">
        <v>23</v>
      </c>
      <c r="E55" s="50" t="s">
        <v>175</v>
      </c>
      <c r="F55" s="90" t="s">
        <v>176</v>
      </c>
      <c r="G55" s="27" t="s">
        <v>105</v>
      </c>
      <c r="H55" s="29">
        <v>60000</v>
      </c>
      <c r="I55" s="29">
        <f t="shared" si="18"/>
        <v>1722</v>
      </c>
      <c r="J55" s="29">
        <f t="shared" si="22"/>
        <v>1824</v>
      </c>
      <c r="K55" s="29">
        <f t="shared" si="19"/>
        <v>56454</v>
      </c>
      <c r="L55" s="29">
        <v>3846.68</v>
      </c>
      <c r="M55" s="29"/>
      <c r="N55" s="84"/>
      <c r="O55" s="29">
        <f>25</f>
        <v>25</v>
      </c>
      <c r="P55" s="84"/>
      <c r="Q55" s="89"/>
      <c r="R55" s="82">
        <f t="shared" si="20"/>
        <v>7417.68</v>
      </c>
      <c r="S55" s="29">
        <f t="shared" si="21"/>
        <v>52582.32</v>
      </c>
    </row>
    <row r="56" spans="1:19" ht="37.15" customHeight="1" thickBot="1" x14ac:dyDescent="0.45">
      <c r="A56" s="25">
        <v>37</v>
      </c>
      <c r="B56" s="26">
        <v>44936</v>
      </c>
      <c r="C56" s="39">
        <v>45295</v>
      </c>
      <c r="D56" s="26" t="s">
        <v>29</v>
      </c>
      <c r="E56" s="50" t="s">
        <v>177</v>
      </c>
      <c r="F56" s="90" t="s">
        <v>178</v>
      </c>
      <c r="G56" s="27" t="s">
        <v>105</v>
      </c>
      <c r="H56" s="29">
        <v>72000</v>
      </c>
      <c r="I56" s="29">
        <f t="shared" si="18"/>
        <v>2066.4</v>
      </c>
      <c r="J56" s="29">
        <f t="shared" si="22"/>
        <v>2188.8000000000002</v>
      </c>
      <c r="K56" s="29">
        <f t="shared" si="19"/>
        <v>67744.800000000003</v>
      </c>
      <c r="L56" s="29">
        <v>5744.84</v>
      </c>
      <c r="M56" s="29"/>
      <c r="N56" s="84"/>
      <c r="O56" s="29">
        <v>25</v>
      </c>
      <c r="P56" s="84"/>
      <c r="Q56" s="89"/>
      <c r="R56" s="82">
        <f t="shared" si="20"/>
        <v>10025.040000000001</v>
      </c>
      <c r="S56" s="29">
        <f t="shared" si="21"/>
        <v>61974.96</v>
      </c>
    </row>
    <row r="57" spans="1:19" ht="40.15" customHeight="1" thickBot="1" x14ac:dyDescent="0.45">
      <c r="A57" s="25"/>
      <c r="B57" s="148" t="s">
        <v>123</v>
      </c>
      <c r="C57" s="149"/>
      <c r="D57" s="149"/>
      <c r="E57" s="149"/>
      <c r="F57" s="150"/>
      <c r="G57" s="98"/>
      <c r="H57" s="85">
        <f>H43+H44+H45+H47+H46+H48+H49+H50+H51+H52+H53+H54+H55+H56</f>
        <v>1239000</v>
      </c>
      <c r="I57" s="85">
        <f t="shared" ref="I57:S57" si="23">I43+I44+I45+I47+I46+I48+I49+I50+I51+I52+I53+I54+I55+I56</f>
        <v>35559.300000000003</v>
      </c>
      <c r="J57" s="85">
        <f t="shared" si="23"/>
        <v>36708.76</v>
      </c>
      <c r="K57" s="85">
        <f t="shared" si="23"/>
        <v>1166731.9400000002</v>
      </c>
      <c r="L57" s="85">
        <f t="shared" si="23"/>
        <v>136889.84999999998</v>
      </c>
      <c r="M57" s="85">
        <f t="shared" si="23"/>
        <v>0</v>
      </c>
      <c r="N57" s="85">
        <f t="shared" si="23"/>
        <v>1715.46</v>
      </c>
      <c r="O57" s="85">
        <f t="shared" si="23"/>
        <v>350</v>
      </c>
      <c r="P57" s="85">
        <f t="shared" si="23"/>
        <v>3351.29</v>
      </c>
      <c r="Q57" s="85">
        <f t="shared" si="23"/>
        <v>0</v>
      </c>
      <c r="R57" s="85">
        <f t="shared" si="23"/>
        <v>214574.66</v>
      </c>
      <c r="S57" s="85">
        <f t="shared" si="23"/>
        <v>1024425.3399999999</v>
      </c>
    </row>
    <row r="58" spans="1:19" ht="48.6" customHeight="1" thickBot="1" x14ac:dyDescent="0.45">
      <c r="A58" s="25"/>
      <c r="B58" s="157" t="s">
        <v>179</v>
      </c>
      <c r="C58" s="158"/>
      <c r="D58" s="158"/>
      <c r="E58" s="159"/>
      <c r="F58" s="35"/>
      <c r="G58" s="98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84"/>
      <c r="S58" s="84"/>
    </row>
    <row r="59" spans="1:19" ht="40.15" customHeight="1" thickBot="1" x14ac:dyDescent="0.45">
      <c r="A59" s="25">
        <v>38</v>
      </c>
      <c r="B59" s="26">
        <v>44198</v>
      </c>
      <c r="C59" s="26">
        <v>45292</v>
      </c>
      <c r="D59" s="26" t="s">
        <v>29</v>
      </c>
      <c r="E59" s="90" t="s">
        <v>180</v>
      </c>
      <c r="F59" s="86" t="s">
        <v>181</v>
      </c>
      <c r="G59" s="100" t="s">
        <v>105</v>
      </c>
      <c r="H59" s="29">
        <v>150000</v>
      </c>
      <c r="I59" s="29">
        <f>H59*2.87%</f>
        <v>4305</v>
      </c>
      <c r="J59" s="82">
        <f>H59*3.04%</f>
        <v>4560</v>
      </c>
      <c r="K59" s="29">
        <f>H59-I59-J59</f>
        <v>141135</v>
      </c>
      <c r="L59" s="41">
        <v>23866.69</v>
      </c>
      <c r="M59" s="29"/>
      <c r="N59" s="29"/>
      <c r="O59" s="29">
        <v>25</v>
      </c>
      <c r="P59" s="29"/>
      <c r="Q59" s="82">
        <v>2148.0100000000002</v>
      </c>
      <c r="R59" s="82">
        <f>I59+J59+N59+O59+P59+L59-Q59</f>
        <v>30608.68</v>
      </c>
      <c r="S59" s="29">
        <f t="shared" ref="S59" si="24">H59-R59</f>
        <v>119391.32</v>
      </c>
    </row>
    <row r="60" spans="1:19" ht="40.15" customHeight="1" thickBot="1" x14ac:dyDescent="0.45">
      <c r="A60" s="25">
        <v>39</v>
      </c>
      <c r="B60" s="26">
        <v>44199</v>
      </c>
      <c r="C60" s="26">
        <v>45292</v>
      </c>
      <c r="D60" s="26" t="s">
        <v>29</v>
      </c>
      <c r="E60" s="90" t="s">
        <v>182</v>
      </c>
      <c r="F60" s="90" t="s">
        <v>183</v>
      </c>
      <c r="G60" s="100" t="s">
        <v>105</v>
      </c>
      <c r="H60" s="29">
        <v>80000</v>
      </c>
      <c r="I60" s="29">
        <f>H60*2.87%</f>
        <v>2296</v>
      </c>
      <c r="J60" s="82">
        <f>H60*3.04%</f>
        <v>2432</v>
      </c>
      <c r="K60" s="29">
        <f>H60-I60-J60</f>
        <v>75272</v>
      </c>
      <c r="L60" s="29">
        <v>7400.87</v>
      </c>
      <c r="M60" s="29">
        <v>0</v>
      </c>
      <c r="N60" s="29">
        <v>0</v>
      </c>
      <c r="O60" s="29">
        <v>25</v>
      </c>
      <c r="P60" s="29">
        <v>3351.29</v>
      </c>
      <c r="Q60" s="82"/>
      <c r="R60" s="82">
        <f>I60+J60+L60+N60+O60+P60</f>
        <v>15505.16</v>
      </c>
      <c r="S60" s="29">
        <f>H60-R60</f>
        <v>64494.84</v>
      </c>
    </row>
    <row r="61" spans="1:19" ht="40.15" customHeight="1" thickBot="1" x14ac:dyDescent="0.45">
      <c r="A61" s="25">
        <v>40</v>
      </c>
      <c r="B61" s="26" t="s">
        <v>22</v>
      </c>
      <c r="C61" s="26">
        <v>45292</v>
      </c>
      <c r="D61" s="26" t="s">
        <v>29</v>
      </c>
      <c r="E61" s="90" t="s">
        <v>184</v>
      </c>
      <c r="F61" s="90" t="s">
        <v>183</v>
      </c>
      <c r="G61" s="100" t="s">
        <v>105</v>
      </c>
      <c r="H61" s="29">
        <v>95000</v>
      </c>
      <c r="I61" s="29">
        <f>H61*2.87%</f>
        <v>2726.5</v>
      </c>
      <c r="J61" s="82">
        <f>H61*3.04%</f>
        <v>2888</v>
      </c>
      <c r="K61" s="29">
        <f>H61-I61-J61</f>
        <v>89385.5</v>
      </c>
      <c r="L61" s="29">
        <v>10534.88</v>
      </c>
      <c r="M61" s="29"/>
      <c r="N61" s="29">
        <v>1715.46</v>
      </c>
      <c r="O61" s="29">
        <v>25</v>
      </c>
      <c r="P61" s="29">
        <v>3351.29</v>
      </c>
      <c r="Q61" s="82"/>
      <c r="R61" s="82">
        <f>I61+J61+L61+N61+O61+P61</f>
        <v>21241.13</v>
      </c>
      <c r="S61" s="29">
        <f>H61-R61</f>
        <v>73758.87</v>
      </c>
    </row>
    <row r="62" spans="1:19" ht="48.6" customHeight="1" thickBot="1" x14ac:dyDescent="0.45">
      <c r="A62" s="25"/>
      <c r="B62" s="148" t="s">
        <v>123</v>
      </c>
      <c r="C62" s="149"/>
      <c r="D62" s="149"/>
      <c r="E62" s="149"/>
      <c r="F62" s="150"/>
      <c r="G62" s="40"/>
      <c r="H62" s="85">
        <f>H59+H60+H61</f>
        <v>325000</v>
      </c>
      <c r="I62" s="85">
        <f t="shared" ref="I62:S62" si="25">I59+I60+I61</f>
        <v>9327.5</v>
      </c>
      <c r="J62" s="85">
        <f t="shared" si="25"/>
        <v>9880</v>
      </c>
      <c r="K62" s="85">
        <f t="shared" si="25"/>
        <v>305792.5</v>
      </c>
      <c r="L62" s="85">
        <f t="shared" si="25"/>
        <v>41802.439999999995</v>
      </c>
      <c r="M62" s="85">
        <f t="shared" si="25"/>
        <v>0</v>
      </c>
      <c r="N62" s="85">
        <f t="shared" si="25"/>
        <v>1715.46</v>
      </c>
      <c r="O62" s="85">
        <f t="shared" si="25"/>
        <v>75</v>
      </c>
      <c r="P62" s="85">
        <f t="shared" si="25"/>
        <v>6702.58</v>
      </c>
      <c r="Q62" s="85">
        <f t="shared" si="25"/>
        <v>2148.0100000000002</v>
      </c>
      <c r="R62" s="85">
        <f t="shared" si="25"/>
        <v>67354.97</v>
      </c>
      <c r="S62" s="85">
        <f t="shared" si="25"/>
        <v>257645.03</v>
      </c>
    </row>
    <row r="63" spans="1:19" ht="48.6" customHeight="1" thickBot="1" x14ac:dyDescent="0.45">
      <c r="A63" s="101"/>
      <c r="B63" s="157" t="s">
        <v>185</v>
      </c>
      <c r="C63" s="158"/>
      <c r="D63" s="158"/>
      <c r="E63" s="158"/>
      <c r="F63" s="35"/>
      <c r="G63" s="102"/>
      <c r="H63" s="84"/>
      <c r="I63" s="84"/>
      <c r="J63" s="84"/>
      <c r="K63" s="84"/>
      <c r="L63" s="84"/>
      <c r="M63" s="84"/>
      <c r="N63" s="84"/>
      <c r="O63" s="84"/>
      <c r="P63" s="84"/>
      <c r="Q63" s="89"/>
      <c r="R63" s="89"/>
      <c r="S63" s="84"/>
    </row>
    <row r="64" spans="1:19" ht="36.6" customHeight="1" thickBot="1" x14ac:dyDescent="0.45">
      <c r="A64" s="101">
        <v>41</v>
      </c>
      <c r="B64" s="32" t="s">
        <v>186</v>
      </c>
      <c r="C64" s="32">
        <v>45292</v>
      </c>
      <c r="D64" s="26" t="s">
        <v>23</v>
      </c>
      <c r="E64" s="90" t="s">
        <v>187</v>
      </c>
      <c r="F64" s="86" t="s">
        <v>188</v>
      </c>
      <c r="G64" s="103" t="s">
        <v>105</v>
      </c>
      <c r="H64" s="29">
        <v>95000</v>
      </c>
      <c r="I64" s="29">
        <f>H64*2.87%</f>
        <v>2726.5</v>
      </c>
      <c r="J64" s="29">
        <f>H64*3.04%</f>
        <v>2888</v>
      </c>
      <c r="K64" s="29">
        <v>89385.5</v>
      </c>
      <c r="L64" s="29">
        <v>10929.24</v>
      </c>
      <c r="M64" s="29"/>
      <c r="N64" s="29"/>
      <c r="O64" s="29">
        <v>25</v>
      </c>
      <c r="P64" s="29"/>
      <c r="Q64" s="29"/>
      <c r="R64" s="29">
        <f>I64+J64+L64+N64+O64+P64</f>
        <v>16568.739999999998</v>
      </c>
      <c r="S64" s="29">
        <f>H64-R64</f>
        <v>78431.260000000009</v>
      </c>
    </row>
    <row r="65" spans="1:19" ht="36.6" customHeight="1" thickBot="1" x14ac:dyDescent="0.45">
      <c r="A65" s="101"/>
      <c r="B65" s="148" t="s">
        <v>38</v>
      </c>
      <c r="C65" s="149"/>
      <c r="D65" s="149"/>
      <c r="E65" s="149"/>
      <c r="F65" s="150"/>
      <c r="G65" s="102"/>
      <c r="H65" s="85">
        <f>H64</f>
        <v>95000</v>
      </c>
      <c r="I65" s="85">
        <f>I64</f>
        <v>2726.5</v>
      </c>
      <c r="J65" s="85">
        <f t="shared" ref="J65:Q65" si="26">J64</f>
        <v>2888</v>
      </c>
      <c r="K65" s="85">
        <f t="shared" si="26"/>
        <v>89385.5</v>
      </c>
      <c r="L65" s="85">
        <f>L64</f>
        <v>10929.24</v>
      </c>
      <c r="M65" s="85"/>
      <c r="N65" s="85">
        <f t="shared" si="26"/>
        <v>0</v>
      </c>
      <c r="O65" s="85">
        <f t="shared" si="26"/>
        <v>25</v>
      </c>
      <c r="P65" s="85">
        <f t="shared" si="26"/>
        <v>0</v>
      </c>
      <c r="Q65" s="85">
        <f t="shared" si="26"/>
        <v>0</v>
      </c>
      <c r="R65" s="85">
        <f>R64</f>
        <v>16568.739999999998</v>
      </c>
      <c r="S65" s="85">
        <f>S64</f>
        <v>78431.260000000009</v>
      </c>
    </row>
    <row r="66" spans="1:19" s="105" customFormat="1" ht="48.6" customHeight="1" thickBot="1" x14ac:dyDescent="0.45">
      <c r="A66" s="104"/>
      <c r="B66" s="157" t="s">
        <v>189</v>
      </c>
      <c r="C66" s="158"/>
      <c r="D66" s="158"/>
      <c r="E66" s="159"/>
      <c r="G66" s="106"/>
      <c r="H66" s="106"/>
      <c r="I66" s="106"/>
      <c r="J66" s="106"/>
      <c r="K66" s="106"/>
      <c r="L66" s="106"/>
      <c r="M66" s="107"/>
      <c r="N66" s="106"/>
      <c r="O66" s="106"/>
      <c r="P66" s="106"/>
      <c r="Q66" s="106"/>
      <c r="R66" s="106"/>
      <c r="S66" s="108"/>
    </row>
    <row r="67" spans="1:19" s="105" customFormat="1" ht="37.15" customHeight="1" thickBot="1" x14ac:dyDescent="0.45">
      <c r="A67" s="25">
        <v>42</v>
      </c>
      <c r="B67" s="32">
        <v>44198</v>
      </c>
      <c r="C67" s="32">
        <v>45292</v>
      </c>
      <c r="D67" s="26" t="s">
        <v>23</v>
      </c>
      <c r="E67" s="90" t="s">
        <v>190</v>
      </c>
      <c r="F67" s="86" t="s">
        <v>191</v>
      </c>
      <c r="G67" s="103" t="s">
        <v>105</v>
      </c>
      <c r="H67" s="29">
        <v>135000</v>
      </c>
      <c r="I67" s="29">
        <f>H67*2.87%</f>
        <v>3874.5</v>
      </c>
      <c r="J67" s="82">
        <f>H67*3.04%</f>
        <v>4104</v>
      </c>
      <c r="K67" s="29">
        <f>H67-I67-J67</f>
        <v>127021.5</v>
      </c>
      <c r="L67" s="41">
        <v>20338.310000000001</v>
      </c>
      <c r="M67" s="29"/>
      <c r="N67" s="109"/>
      <c r="O67" s="29">
        <v>25</v>
      </c>
      <c r="P67" s="29">
        <v>10195.77</v>
      </c>
      <c r="Q67" s="82">
        <v>5676.26</v>
      </c>
      <c r="R67" s="82">
        <f>I67+J67+L67+N67+O67+P67-Q67</f>
        <v>32861.32</v>
      </c>
      <c r="S67" s="29">
        <f>H67-R67</f>
        <v>102138.68</v>
      </c>
    </row>
    <row r="68" spans="1:19" s="107" customFormat="1" ht="37.15" customHeight="1" thickBot="1" x14ac:dyDescent="0.45">
      <c r="A68" s="25">
        <v>43</v>
      </c>
      <c r="B68" s="32">
        <v>44198</v>
      </c>
      <c r="C68" s="32">
        <v>45292</v>
      </c>
      <c r="D68" s="26" t="s">
        <v>29</v>
      </c>
      <c r="E68" s="90" t="s">
        <v>192</v>
      </c>
      <c r="F68" s="86" t="s">
        <v>137</v>
      </c>
      <c r="G68" s="103" t="s">
        <v>105</v>
      </c>
      <c r="H68" s="29">
        <v>60000</v>
      </c>
      <c r="I68" s="29">
        <f>H68*2.87%</f>
        <v>1722</v>
      </c>
      <c r="J68" s="82">
        <f>H68*3.04%</f>
        <v>1824</v>
      </c>
      <c r="K68" s="29">
        <f>H68-I68-J68</f>
        <v>56454</v>
      </c>
      <c r="L68" s="41">
        <f>3486.65-M68</f>
        <v>3486.65</v>
      </c>
      <c r="M68" s="48">
        <v>0</v>
      </c>
      <c r="N68" s="109"/>
      <c r="O68" s="29">
        <v>25</v>
      </c>
      <c r="P68" s="29"/>
      <c r="Q68" s="82"/>
      <c r="R68" s="82">
        <f>I68+J68+L68+N68+O68+P68</f>
        <v>7057.65</v>
      </c>
      <c r="S68" s="29">
        <f>H68-R68</f>
        <v>52942.35</v>
      </c>
    </row>
    <row r="69" spans="1:19" s="107" customFormat="1" ht="48.6" customHeight="1" thickBot="1" x14ac:dyDescent="0.45">
      <c r="A69" s="105"/>
      <c r="B69" s="148" t="s">
        <v>38</v>
      </c>
      <c r="C69" s="149"/>
      <c r="D69" s="149"/>
      <c r="E69" s="149"/>
      <c r="F69" s="150"/>
      <c r="G69" s="110"/>
      <c r="H69" s="85">
        <f>H67+H68</f>
        <v>195000</v>
      </c>
      <c r="I69" s="85">
        <f t="shared" ref="I69:S69" si="27">I67+I68</f>
        <v>5596.5</v>
      </c>
      <c r="J69" s="85">
        <f t="shared" si="27"/>
        <v>5928</v>
      </c>
      <c r="K69" s="85">
        <f t="shared" si="27"/>
        <v>183475.5</v>
      </c>
      <c r="L69" s="85">
        <f t="shared" si="27"/>
        <v>23824.960000000003</v>
      </c>
      <c r="M69" s="85">
        <f t="shared" si="27"/>
        <v>0</v>
      </c>
      <c r="N69" s="85">
        <f t="shared" si="27"/>
        <v>0</v>
      </c>
      <c r="O69" s="85">
        <f t="shared" si="27"/>
        <v>50</v>
      </c>
      <c r="P69" s="85">
        <f t="shared" si="27"/>
        <v>10195.77</v>
      </c>
      <c r="Q69" s="85">
        <f t="shared" si="27"/>
        <v>5676.26</v>
      </c>
      <c r="R69" s="85">
        <f t="shared" si="27"/>
        <v>39918.97</v>
      </c>
      <c r="S69" s="85">
        <f t="shared" si="27"/>
        <v>155081.03</v>
      </c>
    </row>
    <row r="70" spans="1:19" ht="48.6" customHeight="1" thickBot="1" x14ac:dyDescent="0.45">
      <c r="A70" s="25"/>
      <c r="B70" s="158" t="s">
        <v>193</v>
      </c>
      <c r="C70" s="158"/>
      <c r="D70" s="158"/>
      <c r="E70" s="158"/>
      <c r="F70" s="111"/>
      <c r="G70" s="40"/>
      <c r="H70" s="29"/>
      <c r="I70" s="29"/>
      <c r="J70" s="29"/>
      <c r="K70" s="29"/>
      <c r="L70" s="29"/>
      <c r="M70" s="29"/>
      <c r="N70" s="29"/>
      <c r="O70" s="29"/>
      <c r="P70" s="29"/>
      <c r="Q70" s="82"/>
      <c r="R70" s="82"/>
      <c r="S70" s="29"/>
    </row>
    <row r="71" spans="1:19" ht="35.450000000000003" customHeight="1" thickBot="1" x14ac:dyDescent="0.45">
      <c r="A71" s="25">
        <v>44</v>
      </c>
      <c r="B71" s="26">
        <v>44534</v>
      </c>
      <c r="C71" s="26">
        <v>45627</v>
      </c>
      <c r="D71" s="26" t="s">
        <v>23</v>
      </c>
      <c r="E71" s="90" t="s">
        <v>194</v>
      </c>
      <c r="F71" s="90" t="s">
        <v>195</v>
      </c>
      <c r="G71" s="39" t="s">
        <v>105</v>
      </c>
      <c r="H71" s="29">
        <v>140000</v>
      </c>
      <c r="I71" s="29">
        <f>H71*2.87%</f>
        <v>4018</v>
      </c>
      <c r="J71" s="29">
        <f>H71*3.04%</f>
        <v>4256</v>
      </c>
      <c r="K71" s="29">
        <f>H71-I71-J71</f>
        <v>131726</v>
      </c>
      <c r="L71" s="29">
        <v>21514.37</v>
      </c>
      <c r="M71" s="29"/>
      <c r="N71" s="29">
        <v>0</v>
      </c>
      <c r="O71" s="29">
        <v>25</v>
      </c>
      <c r="P71" s="84"/>
      <c r="Q71" s="82">
        <v>0</v>
      </c>
      <c r="R71" s="82">
        <f>I71+J71+L71+N71+O71+P71-Q71</f>
        <v>29813.37</v>
      </c>
      <c r="S71" s="29">
        <f>H71-R71</f>
        <v>110186.63</v>
      </c>
    </row>
    <row r="72" spans="1:19" ht="36.6" customHeight="1" thickBot="1" x14ac:dyDescent="0.45">
      <c r="A72" s="25">
        <v>45</v>
      </c>
      <c r="B72" s="26" t="s">
        <v>196</v>
      </c>
      <c r="C72" s="26" t="s">
        <v>197</v>
      </c>
      <c r="D72" s="26" t="s">
        <v>23</v>
      </c>
      <c r="E72" s="90" t="s">
        <v>198</v>
      </c>
      <c r="F72" s="90" t="s">
        <v>199</v>
      </c>
      <c r="G72" s="39" t="s">
        <v>105</v>
      </c>
      <c r="H72" s="29">
        <v>90000</v>
      </c>
      <c r="I72" s="29">
        <f>H72*2.87%</f>
        <v>2583</v>
      </c>
      <c r="J72" s="29">
        <f>H72*3.04%</f>
        <v>2736</v>
      </c>
      <c r="K72" s="29">
        <f>H72-I72-J72</f>
        <v>84681</v>
      </c>
      <c r="L72" s="29">
        <v>8964.39</v>
      </c>
      <c r="M72" s="29"/>
      <c r="N72" s="29">
        <f>1715.45*2</f>
        <v>3430.9</v>
      </c>
      <c r="O72" s="29">
        <v>25</v>
      </c>
      <c r="P72" s="84"/>
      <c r="Q72" s="89"/>
      <c r="R72" s="82">
        <f>I72+J72+L72+N72+O72+P72</f>
        <v>17739.29</v>
      </c>
      <c r="S72" s="29">
        <f>H72-R72</f>
        <v>72260.709999999992</v>
      </c>
    </row>
    <row r="73" spans="1:19" ht="36.6" customHeight="1" thickBot="1" x14ac:dyDescent="0.45">
      <c r="A73" s="25">
        <v>46</v>
      </c>
      <c r="B73" s="26">
        <v>44564</v>
      </c>
      <c r="C73" s="26">
        <v>45297</v>
      </c>
      <c r="D73" s="26" t="s">
        <v>23</v>
      </c>
      <c r="E73" s="90" t="s">
        <v>200</v>
      </c>
      <c r="F73" s="90" t="s">
        <v>201</v>
      </c>
      <c r="G73" s="39" t="s">
        <v>105</v>
      </c>
      <c r="H73" s="29">
        <v>50000</v>
      </c>
      <c r="I73" s="29">
        <f>H73*2.87%</f>
        <v>1435</v>
      </c>
      <c r="J73" s="29">
        <f>H73*3.04%</f>
        <v>1520</v>
      </c>
      <c r="K73" s="29">
        <f>H73-I73-J73</f>
        <v>47045</v>
      </c>
      <c r="L73" s="29">
        <v>1854</v>
      </c>
      <c r="M73" s="29">
        <v>0</v>
      </c>
      <c r="N73" s="29">
        <v>0</v>
      </c>
      <c r="O73" s="29">
        <v>25</v>
      </c>
      <c r="P73" s="84"/>
      <c r="Q73" s="89"/>
      <c r="R73" s="82">
        <f>I73+J73+L73+N73+O73+P73</f>
        <v>4834</v>
      </c>
      <c r="S73" s="29">
        <f>H73-R73</f>
        <v>45166</v>
      </c>
    </row>
    <row r="74" spans="1:19" ht="36.6" customHeight="1" thickBot="1" x14ac:dyDescent="0.45">
      <c r="A74" s="25">
        <v>47</v>
      </c>
      <c r="B74" s="26">
        <v>44565</v>
      </c>
      <c r="C74" s="26">
        <v>45294</v>
      </c>
      <c r="D74" s="26" t="s">
        <v>23</v>
      </c>
      <c r="E74" s="90" t="s">
        <v>202</v>
      </c>
      <c r="F74" s="90" t="s">
        <v>203</v>
      </c>
      <c r="G74" s="39" t="s">
        <v>105</v>
      </c>
      <c r="H74" s="29">
        <v>75000</v>
      </c>
      <c r="I74" s="29">
        <f>H74*2.87%</f>
        <v>2152.5</v>
      </c>
      <c r="J74" s="29">
        <f>H74*3.04%</f>
        <v>2280</v>
      </c>
      <c r="K74" s="29">
        <f>H74-I74-J74</f>
        <v>70567.5</v>
      </c>
      <c r="L74" s="29">
        <v>6309.3879999999999</v>
      </c>
      <c r="M74" s="29"/>
      <c r="N74" s="29">
        <v>0</v>
      </c>
      <c r="O74" s="29">
        <v>25</v>
      </c>
      <c r="P74" s="84"/>
      <c r="Q74" s="89"/>
      <c r="R74" s="82">
        <f>I74+J74+L74+N74+O74+P74</f>
        <v>10766.887999999999</v>
      </c>
      <c r="S74" s="29">
        <f>H74-R74</f>
        <v>64233.112000000001</v>
      </c>
    </row>
    <row r="75" spans="1:19" ht="48.6" customHeight="1" thickBot="1" x14ac:dyDescent="0.45">
      <c r="A75" s="111"/>
      <c r="B75" s="148" t="s">
        <v>123</v>
      </c>
      <c r="C75" s="149"/>
      <c r="D75" s="149"/>
      <c r="E75" s="149"/>
      <c r="F75" s="150"/>
      <c r="G75" s="34"/>
      <c r="H75" s="85">
        <f>H71+H72+H73+H74</f>
        <v>355000</v>
      </c>
      <c r="I75" s="85">
        <f t="shared" ref="I75:S75" si="28">I71+I72+I73+I74</f>
        <v>10188.5</v>
      </c>
      <c r="J75" s="85">
        <f t="shared" si="28"/>
        <v>10792</v>
      </c>
      <c r="K75" s="85">
        <f t="shared" si="28"/>
        <v>334019.5</v>
      </c>
      <c r="L75" s="85">
        <f t="shared" si="28"/>
        <v>38642.148000000001</v>
      </c>
      <c r="M75" s="85">
        <f t="shared" si="28"/>
        <v>0</v>
      </c>
      <c r="N75" s="85">
        <f t="shared" si="28"/>
        <v>3430.9</v>
      </c>
      <c r="O75" s="85">
        <f t="shared" si="28"/>
        <v>100</v>
      </c>
      <c r="P75" s="85">
        <f t="shared" si="28"/>
        <v>0</v>
      </c>
      <c r="Q75" s="85">
        <f t="shared" si="28"/>
        <v>0</v>
      </c>
      <c r="R75" s="85">
        <f t="shared" si="28"/>
        <v>63153.548000000003</v>
      </c>
      <c r="S75" s="85">
        <f t="shared" si="28"/>
        <v>291846.45199999999</v>
      </c>
    </row>
    <row r="76" spans="1:19" ht="48.6" customHeight="1" thickBot="1" x14ac:dyDescent="0.45">
      <c r="A76" s="111"/>
      <c r="B76" s="157" t="s">
        <v>204</v>
      </c>
      <c r="C76" s="168"/>
      <c r="D76" s="158"/>
      <c r="E76" s="159"/>
      <c r="F76" s="111"/>
      <c r="G76" s="34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84"/>
    </row>
    <row r="77" spans="1:19" ht="48" customHeight="1" thickBot="1" x14ac:dyDescent="0.45">
      <c r="A77" s="25">
        <v>48</v>
      </c>
      <c r="B77" s="32" t="s">
        <v>125</v>
      </c>
      <c r="C77" s="26">
        <v>45627</v>
      </c>
      <c r="D77" s="39" t="s">
        <v>29</v>
      </c>
      <c r="E77" s="90" t="s">
        <v>205</v>
      </c>
      <c r="F77" s="112" t="s">
        <v>206</v>
      </c>
      <c r="G77" s="39" t="s">
        <v>105</v>
      </c>
      <c r="H77" s="29">
        <v>245000</v>
      </c>
      <c r="I77" s="29">
        <f>H77*2.87%</f>
        <v>7031.5</v>
      </c>
      <c r="J77" s="29">
        <f>193525*3.04%</f>
        <v>5883.16</v>
      </c>
      <c r="K77" s="29">
        <f>H77-I77-J77</f>
        <v>232085.34</v>
      </c>
      <c r="L77" s="29">
        <v>46604.2</v>
      </c>
      <c r="M77" s="41"/>
      <c r="N77" s="84"/>
      <c r="O77" s="29">
        <v>25</v>
      </c>
      <c r="P77" s="99"/>
      <c r="Q77" s="84"/>
      <c r="R77" s="82">
        <f>I77+J77+L77+N77+O77+P77</f>
        <v>59543.86</v>
      </c>
      <c r="S77" s="29">
        <f>H77-R77</f>
        <v>185456.14</v>
      </c>
    </row>
    <row r="78" spans="1:19" ht="48.6" customHeight="1" thickBot="1" x14ac:dyDescent="0.45">
      <c r="A78" s="25">
        <v>49</v>
      </c>
      <c r="B78" s="32">
        <v>44936</v>
      </c>
      <c r="C78" s="26">
        <v>45295</v>
      </c>
      <c r="D78" s="39" t="s">
        <v>29</v>
      </c>
      <c r="E78" s="90" t="s">
        <v>207</v>
      </c>
      <c r="F78" s="112" t="s">
        <v>208</v>
      </c>
      <c r="G78" s="39" t="s">
        <v>105</v>
      </c>
      <c r="H78" s="29">
        <v>80000</v>
      </c>
      <c r="I78" s="29">
        <f>H78*2.87%</f>
        <v>2296</v>
      </c>
      <c r="J78" s="29">
        <f>H78*3.04%</f>
        <v>2432</v>
      </c>
      <c r="K78" s="29">
        <f t="shared" ref="K78:K81" si="29">H78-I78-J78</f>
        <v>75272</v>
      </c>
      <c r="L78" s="29">
        <f>7400.87-M78</f>
        <v>7400.87</v>
      </c>
      <c r="M78" s="41">
        <v>0</v>
      </c>
      <c r="N78" s="84"/>
      <c r="O78" s="29">
        <v>25</v>
      </c>
      <c r="P78" s="99"/>
      <c r="Q78" s="84"/>
      <c r="R78" s="82">
        <f>I78+J78+L78+N78+O78+P78</f>
        <v>12153.869999999999</v>
      </c>
      <c r="S78" s="29">
        <f>H78-R78</f>
        <v>67846.13</v>
      </c>
    </row>
    <row r="79" spans="1:19" ht="48.6" customHeight="1" thickBot="1" x14ac:dyDescent="0.45">
      <c r="A79" s="25">
        <v>50</v>
      </c>
      <c r="B79" s="32">
        <v>44572</v>
      </c>
      <c r="C79" s="26">
        <v>45627</v>
      </c>
      <c r="D79" s="39" t="s">
        <v>29</v>
      </c>
      <c r="E79" s="90" t="s">
        <v>209</v>
      </c>
      <c r="F79" s="112" t="s">
        <v>210</v>
      </c>
      <c r="G79" s="39" t="s">
        <v>105</v>
      </c>
      <c r="H79" s="29">
        <v>105000</v>
      </c>
      <c r="I79" s="29">
        <f t="shared" ref="I79:I81" si="30">H79*2.87%</f>
        <v>3013.5</v>
      </c>
      <c r="J79" s="29">
        <f t="shared" ref="J79:J81" si="31">H79*3.04%</f>
        <v>3192</v>
      </c>
      <c r="K79" s="29">
        <f t="shared" si="29"/>
        <v>98794.5</v>
      </c>
      <c r="L79" s="29">
        <v>13281.49</v>
      </c>
      <c r="M79" s="41"/>
      <c r="N79" s="84"/>
      <c r="O79" s="29">
        <v>25</v>
      </c>
      <c r="P79" s="99"/>
      <c r="Q79" s="84"/>
      <c r="R79" s="82">
        <f t="shared" ref="R79:R81" si="32">I79+J79+L79+N79+O79+P79</f>
        <v>19511.989999999998</v>
      </c>
      <c r="S79" s="29">
        <f t="shared" ref="S79:S81" si="33">H79-R79</f>
        <v>85488.010000000009</v>
      </c>
    </row>
    <row r="80" spans="1:19" ht="48" customHeight="1" thickBot="1" x14ac:dyDescent="0.45">
      <c r="A80" s="25">
        <v>51</v>
      </c>
      <c r="B80" s="32">
        <v>44572</v>
      </c>
      <c r="C80" s="26">
        <v>45627</v>
      </c>
      <c r="D80" s="39" t="s">
        <v>29</v>
      </c>
      <c r="E80" s="90" t="s">
        <v>211</v>
      </c>
      <c r="F80" s="112" t="s">
        <v>212</v>
      </c>
      <c r="G80" s="39" t="s">
        <v>105</v>
      </c>
      <c r="H80" s="29">
        <v>70000</v>
      </c>
      <c r="I80" s="29">
        <f t="shared" si="30"/>
        <v>2009</v>
      </c>
      <c r="J80" s="29">
        <f t="shared" si="31"/>
        <v>2128</v>
      </c>
      <c r="K80" s="29">
        <f t="shared" si="29"/>
        <v>65863</v>
      </c>
      <c r="L80" s="29">
        <v>5368.48</v>
      </c>
      <c r="M80" s="41">
        <v>0</v>
      </c>
      <c r="N80" s="84"/>
      <c r="O80" s="29">
        <v>25</v>
      </c>
      <c r="P80" s="99"/>
      <c r="Q80" s="84"/>
      <c r="R80" s="82">
        <f t="shared" si="32"/>
        <v>9530.48</v>
      </c>
      <c r="S80" s="29">
        <f t="shared" si="33"/>
        <v>60469.520000000004</v>
      </c>
    </row>
    <row r="81" spans="1:19" ht="48.6" customHeight="1" thickBot="1" x14ac:dyDescent="0.45">
      <c r="A81" s="25">
        <v>52</v>
      </c>
      <c r="B81" s="32">
        <v>44958</v>
      </c>
      <c r="C81" s="26">
        <v>45627</v>
      </c>
      <c r="D81" s="39" t="s">
        <v>23</v>
      </c>
      <c r="E81" s="90" t="s">
        <v>213</v>
      </c>
      <c r="F81" s="112" t="s">
        <v>214</v>
      </c>
      <c r="G81" s="39" t="s">
        <v>105</v>
      </c>
      <c r="H81" s="29">
        <v>95000</v>
      </c>
      <c r="I81" s="29">
        <f t="shared" si="30"/>
        <v>2726.5</v>
      </c>
      <c r="J81" s="29">
        <f t="shared" si="31"/>
        <v>2888</v>
      </c>
      <c r="K81" s="29">
        <f t="shared" si="29"/>
        <v>89385.5</v>
      </c>
      <c r="L81" s="29">
        <v>10929.24</v>
      </c>
      <c r="M81" s="41"/>
      <c r="N81" s="84"/>
      <c r="O81" s="29">
        <v>25</v>
      </c>
      <c r="P81" s="41">
        <v>0</v>
      </c>
      <c r="Q81" s="84"/>
      <c r="R81" s="82">
        <f t="shared" si="32"/>
        <v>16568.739999999998</v>
      </c>
      <c r="S81" s="29">
        <f t="shared" si="33"/>
        <v>78431.260000000009</v>
      </c>
    </row>
    <row r="82" spans="1:19" ht="48.6" customHeight="1" thickBot="1" x14ac:dyDescent="0.45">
      <c r="A82" s="25"/>
      <c r="B82" s="148" t="s">
        <v>123</v>
      </c>
      <c r="C82" s="149"/>
      <c r="D82" s="149"/>
      <c r="E82" s="149"/>
      <c r="F82" s="150"/>
      <c r="G82" s="84"/>
      <c r="H82" s="85">
        <f>H77+H78+H79+H80+H81</f>
        <v>595000</v>
      </c>
      <c r="I82" s="85">
        <f t="shared" ref="I82:S82" si="34">I77+I78+I79+I80+I81</f>
        <v>17076.5</v>
      </c>
      <c r="J82" s="85">
        <f t="shared" si="34"/>
        <v>16523.16</v>
      </c>
      <c r="K82" s="85">
        <f t="shared" si="34"/>
        <v>561400.34</v>
      </c>
      <c r="L82" s="85">
        <f>L77+L78+L79+L80+L81</f>
        <v>83584.28</v>
      </c>
      <c r="M82" s="85"/>
      <c r="N82" s="85">
        <f t="shared" si="34"/>
        <v>0</v>
      </c>
      <c r="O82" s="85">
        <f t="shared" si="34"/>
        <v>125</v>
      </c>
      <c r="P82" s="85">
        <f t="shared" si="34"/>
        <v>0</v>
      </c>
      <c r="Q82" s="85">
        <f t="shared" si="34"/>
        <v>0</v>
      </c>
      <c r="R82" s="85">
        <f t="shared" si="34"/>
        <v>117308.94</v>
      </c>
      <c r="S82" s="85">
        <f t="shared" si="34"/>
        <v>477691.06000000006</v>
      </c>
    </row>
    <row r="83" spans="1:19" ht="48.6" customHeight="1" thickBot="1" x14ac:dyDescent="0.45">
      <c r="A83" s="25"/>
      <c r="B83" s="157" t="s">
        <v>215</v>
      </c>
      <c r="C83" s="158"/>
      <c r="D83" s="158"/>
      <c r="E83" s="158"/>
      <c r="F83" s="35"/>
      <c r="G83" s="34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84"/>
    </row>
    <row r="84" spans="1:19" ht="36.6" customHeight="1" thickBot="1" x14ac:dyDescent="0.45">
      <c r="A84" s="25">
        <v>53</v>
      </c>
      <c r="B84" s="32">
        <v>43840</v>
      </c>
      <c r="C84" s="32">
        <v>45292</v>
      </c>
      <c r="D84" s="26" t="s">
        <v>23</v>
      </c>
      <c r="E84" s="90" t="s">
        <v>216</v>
      </c>
      <c r="F84" s="90" t="s">
        <v>217</v>
      </c>
      <c r="G84" s="39" t="s">
        <v>105</v>
      </c>
      <c r="H84" s="29">
        <v>250000</v>
      </c>
      <c r="I84" s="41">
        <f t="shared" ref="I84:I94" si="35">H84*2.87%</f>
        <v>7175</v>
      </c>
      <c r="J84" s="29">
        <f>193525*3.04%</f>
        <v>5883.16</v>
      </c>
      <c r="K84" s="41">
        <f t="shared" ref="K84:K94" si="36">H84-I84-J84</f>
        <v>236941.84</v>
      </c>
      <c r="L84" s="82">
        <v>47473.4</v>
      </c>
      <c r="M84" s="29"/>
      <c r="N84" s="29">
        <v>1715.46</v>
      </c>
      <c r="O84" s="29">
        <v>25</v>
      </c>
      <c r="P84" s="29"/>
      <c r="Q84" s="109">
        <v>0</v>
      </c>
      <c r="R84" s="82">
        <f>I84+J84+N84+O84+P84+L84-Q84</f>
        <v>62272.020000000004</v>
      </c>
      <c r="S84" s="29">
        <f>H84-R84</f>
        <v>187727.97999999998</v>
      </c>
    </row>
    <row r="85" spans="1:19" ht="36.6" customHeight="1" thickBot="1" x14ac:dyDescent="0.45">
      <c r="A85" s="25">
        <v>54</v>
      </c>
      <c r="B85" s="32" t="s">
        <v>218</v>
      </c>
      <c r="C85" s="32">
        <v>45292</v>
      </c>
      <c r="D85" s="26" t="s">
        <v>29</v>
      </c>
      <c r="E85" s="90" t="s">
        <v>219</v>
      </c>
      <c r="F85" s="90" t="s">
        <v>220</v>
      </c>
      <c r="G85" s="39" t="s">
        <v>105</v>
      </c>
      <c r="H85" s="29">
        <v>165000</v>
      </c>
      <c r="I85" s="41">
        <f t="shared" si="35"/>
        <v>4735.5</v>
      </c>
      <c r="J85" s="29">
        <f t="shared" ref="J85:J94" si="37">H85*3.04%</f>
        <v>5016</v>
      </c>
      <c r="K85" s="41">
        <f t="shared" si="36"/>
        <v>155248.5</v>
      </c>
      <c r="L85" s="82">
        <v>27394.99</v>
      </c>
      <c r="M85" s="29"/>
      <c r="N85" s="29"/>
      <c r="O85" s="29">
        <v>25</v>
      </c>
      <c r="P85" s="29"/>
      <c r="Q85" s="109"/>
      <c r="R85" s="82">
        <f t="shared" ref="R85:R94" si="38">I85+J85+L85+N85+O85+P85</f>
        <v>37171.490000000005</v>
      </c>
      <c r="S85" s="29">
        <f t="shared" ref="S85:S94" si="39">H85-R85</f>
        <v>127828.51</v>
      </c>
    </row>
    <row r="86" spans="1:19" ht="36" customHeight="1" thickBot="1" x14ac:dyDescent="0.45">
      <c r="A86" s="25">
        <v>55</v>
      </c>
      <c r="B86" s="32">
        <v>44200</v>
      </c>
      <c r="C86" s="32">
        <v>45292</v>
      </c>
      <c r="D86" s="26" t="s">
        <v>23</v>
      </c>
      <c r="E86" s="90" t="s">
        <v>221</v>
      </c>
      <c r="F86" s="112" t="s">
        <v>222</v>
      </c>
      <c r="G86" s="39" t="s">
        <v>105</v>
      </c>
      <c r="H86" s="29">
        <v>95000</v>
      </c>
      <c r="I86" s="41">
        <f t="shared" si="35"/>
        <v>2726.5</v>
      </c>
      <c r="J86" s="29">
        <f t="shared" si="37"/>
        <v>2888</v>
      </c>
      <c r="K86" s="41">
        <f t="shared" si="36"/>
        <v>89385.5</v>
      </c>
      <c r="L86" s="82">
        <v>10929.31</v>
      </c>
      <c r="M86" s="29"/>
      <c r="N86" s="29"/>
      <c r="O86" s="29">
        <v>25</v>
      </c>
      <c r="P86" s="29"/>
      <c r="Q86" s="109"/>
      <c r="R86" s="82">
        <f t="shared" si="38"/>
        <v>16568.809999999998</v>
      </c>
      <c r="S86" s="29">
        <f t="shared" si="39"/>
        <v>78431.19</v>
      </c>
    </row>
    <row r="87" spans="1:19" ht="37.15" customHeight="1" thickBot="1" x14ac:dyDescent="0.45">
      <c r="A87" s="25">
        <v>56</v>
      </c>
      <c r="B87" s="32">
        <v>44206</v>
      </c>
      <c r="C87" s="32">
        <v>45292</v>
      </c>
      <c r="D87" s="26" t="s">
        <v>29</v>
      </c>
      <c r="E87" s="90" t="s">
        <v>223</v>
      </c>
      <c r="F87" s="90" t="s">
        <v>137</v>
      </c>
      <c r="G87" s="39" t="s">
        <v>105</v>
      </c>
      <c r="H87" s="29">
        <v>75000</v>
      </c>
      <c r="I87" s="41">
        <f t="shared" si="35"/>
        <v>2152.5</v>
      </c>
      <c r="J87" s="29">
        <f t="shared" si="37"/>
        <v>2280</v>
      </c>
      <c r="K87" s="41">
        <f t="shared" si="36"/>
        <v>70567.5</v>
      </c>
      <c r="L87" s="82">
        <v>6309.38</v>
      </c>
      <c r="M87" s="29"/>
      <c r="N87" s="29"/>
      <c r="O87" s="29">
        <v>25</v>
      </c>
      <c r="P87" s="29"/>
      <c r="Q87" s="82">
        <v>6309.38</v>
      </c>
      <c r="R87" s="82">
        <f>I87+J87+L87+N87+O87+P87-Q87</f>
        <v>4457.5000000000009</v>
      </c>
      <c r="S87" s="29">
        <f>H87-R87</f>
        <v>70542.5</v>
      </c>
    </row>
    <row r="88" spans="1:19" ht="62.45" customHeight="1" thickBot="1" x14ac:dyDescent="0.45">
      <c r="A88" s="25">
        <v>57</v>
      </c>
      <c r="B88" s="32" t="s">
        <v>225</v>
      </c>
      <c r="C88" s="32" t="s">
        <v>258</v>
      </c>
      <c r="D88" s="26" t="s">
        <v>23</v>
      </c>
      <c r="E88" s="90" t="s">
        <v>226</v>
      </c>
      <c r="F88" s="113" t="s">
        <v>224</v>
      </c>
      <c r="G88" s="26" t="s">
        <v>105</v>
      </c>
      <c r="H88" s="29">
        <v>80000</v>
      </c>
      <c r="I88" s="41">
        <f t="shared" si="35"/>
        <v>2296</v>
      </c>
      <c r="J88" s="29">
        <f t="shared" si="37"/>
        <v>2432</v>
      </c>
      <c r="K88" s="29">
        <f t="shared" si="36"/>
        <v>75272</v>
      </c>
      <c r="L88" s="82">
        <v>7400.87</v>
      </c>
      <c r="M88" s="29"/>
      <c r="N88" s="29"/>
      <c r="O88" s="29">
        <v>25</v>
      </c>
      <c r="P88" s="29"/>
      <c r="Q88" s="82"/>
      <c r="R88" s="82">
        <f t="shared" si="38"/>
        <v>12153.869999999999</v>
      </c>
      <c r="S88" s="29">
        <f t="shared" si="39"/>
        <v>67846.13</v>
      </c>
    </row>
    <row r="89" spans="1:19" ht="48.6" customHeight="1" thickBot="1" x14ac:dyDescent="0.45">
      <c r="A89" s="25">
        <v>58</v>
      </c>
      <c r="B89" s="32">
        <v>44958</v>
      </c>
      <c r="C89" s="32">
        <v>45297</v>
      </c>
      <c r="D89" s="26" t="s">
        <v>29</v>
      </c>
      <c r="E89" s="90" t="s">
        <v>229</v>
      </c>
      <c r="F89" s="113" t="s">
        <v>228</v>
      </c>
      <c r="G89" s="26" t="s">
        <v>105</v>
      </c>
      <c r="H89" s="29">
        <v>70000</v>
      </c>
      <c r="I89" s="41">
        <f t="shared" si="35"/>
        <v>2009</v>
      </c>
      <c r="J89" s="29">
        <f t="shared" si="37"/>
        <v>2128</v>
      </c>
      <c r="K89" s="29">
        <f t="shared" si="36"/>
        <v>65863</v>
      </c>
      <c r="L89" s="41">
        <v>5368.48</v>
      </c>
      <c r="M89" s="29"/>
      <c r="N89" s="29"/>
      <c r="O89" s="29">
        <v>25</v>
      </c>
      <c r="P89" s="29"/>
      <c r="Q89" s="82"/>
      <c r="R89" s="82">
        <f t="shared" si="38"/>
        <v>9530.48</v>
      </c>
      <c r="S89" s="29">
        <f t="shared" si="39"/>
        <v>60469.520000000004</v>
      </c>
    </row>
    <row r="90" spans="1:19" ht="61.15" customHeight="1" thickBot="1" x14ac:dyDescent="0.45">
      <c r="A90" s="25">
        <v>59</v>
      </c>
      <c r="B90" s="32">
        <v>45023</v>
      </c>
      <c r="C90" s="32">
        <v>45297</v>
      </c>
      <c r="D90" s="26" t="s">
        <v>29</v>
      </c>
      <c r="E90" s="90" t="s">
        <v>230</v>
      </c>
      <c r="F90" s="113" t="s">
        <v>231</v>
      </c>
      <c r="G90" s="26" t="s">
        <v>105</v>
      </c>
      <c r="H90" s="29">
        <v>140000</v>
      </c>
      <c r="I90" s="41">
        <f t="shared" si="35"/>
        <v>4018</v>
      </c>
      <c r="J90" s="29">
        <f t="shared" si="37"/>
        <v>4256</v>
      </c>
      <c r="K90" s="29">
        <f t="shared" si="36"/>
        <v>131726</v>
      </c>
      <c r="L90" s="82">
        <v>21514.37</v>
      </c>
      <c r="M90" s="29"/>
      <c r="N90" s="29">
        <v>0</v>
      </c>
      <c r="O90" s="29">
        <v>25</v>
      </c>
      <c r="P90" s="29"/>
      <c r="Q90" s="82"/>
      <c r="R90" s="82">
        <f t="shared" si="38"/>
        <v>29813.37</v>
      </c>
      <c r="S90" s="29">
        <f t="shared" si="39"/>
        <v>110186.63</v>
      </c>
    </row>
    <row r="91" spans="1:19" ht="61.15" customHeight="1" thickBot="1" x14ac:dyDescent="0.45">
      <c r="A91" s="25">
        <v>60</v>
      </c>
      <c r="B91" s="32" t="s">
        <v>232</v>
      </c>
      <c r="C91" s="32">
        <v>45296</v>
      </c>
      <c r="D91" s="26" t="s">
        <v>29</v>
      </c>
      <c r="E91" s="90" t="s">
        <v>233</v>
      </c>
      <c r="F91" s="113" t="s">
        <v>234</v>
      </c>
      <c r="G91" s="26" t="s">
        <v>105</v>
      </c>
      <c r="H91" s="29">
        <v>75000</v>
      </c>
      <c r="I91" s="41">
        <f t="shared" si="35"/>
        <v>2152.5</v>
      </c>
      <c r="J91" s="29">
        <f t="shared" si="37"/>
        <v>2280</v>
      </c>
      <c r="K91" s="29">
        <f t="shared" si="36"/>
        <v>70567.5</v>
      </c>
      <c r="L91" s="41">
        <v>6309.38</v>
      </c>
      <c r="M91" s="29"/>
      <c r="N91" s="29">
        <v>0</v>
      </c>
      <c r="O91" s="29">
        <v>25</v>
      </c>
      <c r="P91" s="29"/>
      <c r="Q91" s="82"/>
      <c r="R91" s="82">
        <f t="shared" si="38"/>
        <v>10766.880000000001</v>
      </c>
      <c r="S91" s="29">
        <f t="shared" si="39"/>
        <v>64233.119999999995</v>
      </c>
    </row>
    <row r="92" spans="1:19" ht="61.15" customHeight="1" thickBot="1" x14ac:dyDescent="0.45">
      <c r="A92" s="25">
        <v>61</v>
      </c>
      <c r="B92" s="32" t="s">
        <v>263</v>
      </c>
      <c r="C92" s="32">
        <v>45300</v>
      </c>
      <c r="D92" s="26" t="s">
        <v>29</v>
      </c>
      <c r="E92" s="90" t="s">
        <v>264</v>
      </c>
      <c r="F92" s="113" t="s">
        <v>228</v>
      </c>
      <c r="G92" s="26" t="s">
        <v>105</v>
      </c>
      <c r="H92" s="29">
        <v>60000</v>
      </c>
      <c r="I92" s="41">
        <f t="shared" si="35"/>
        <v>1722</v>
      </c>
      <c r="J92" s="29">
        <f t="shared" si="37"/>
        <v>1824</v>
      </c>
      <c r="K92" s="29">
        <f t="shared" si="36"/>
        <v>56454</v>
      </c>
      <c r="L92" s="41">
        <v>3486.68</v>
      </c>
      <c r="M92" s="29"/>
      <c r="N92" s="29">
        <v>0</v>
      </c>
      <c r="O92" s="29">
        <v>25</v>
      </c>
      <c r="P92" s="29"/>
      <c r="Q92" s="82"/>
      <c r="R92" s="82">
        <f t="shared" si="38"/>
        <v>7057.68</v>
      </c>
      <c r="S92" s="29">
        <f t="shared" si="39"/>
        <v>52942.32</v>
      </c>
    </row>
    <row r="93" spans="1:19" ht="61.15" customHeight="1" thickBot="1" x14ac:dyDescent="0.45">
      <c r="A93" s="25">
        <v>62</v>
      </c>
      <c r="B93" s="32">
        <v>45294</v>
      </c>
      <c r="C93" s="32">
        <v>45300</v>
      </c>
      <c r="D93" s="26" t="s">
        <v>29</v>
      </c>
      <c r="E93" s="90" t="s">
        <v>268</v>
      </c>
      <c r="F93" s="113" t="s">
        <v>269</v>
      </c>
      <c r="G93" s="26" t="s">
        <v>105</v>
      </c>
      <c r="H93" s="29">
        <v>82000</v>
      </c>
      <c r="I93" s="41">
        <f t="shared" si="35"/>
        <v>2353.4</v>
      </c>
      <c r="J93" s="29">
        <f t="shared" si="37"/>
        <v>2492.8000000000002</v>
      </c>
      <c r="K93" s="29">
        <f t="shared" si="36"/>
        <v>77153.8</v>
      </c>
      <c r="L93" s="41">
        <v>5813.8</v>
      </c>
      <c r="M93" s="29"/>
      <c r="N93" s="29">
        <v>0</v>
      </c>
      <c r="O93" s="29">
        <v>25</v>
      </c>
      <c r="P93" s="29"/>
      <c r="Q93" s="82"/>
      <c r="R93" s="82">
        <f t="shared" si="38"/>
        <v>10685</v>
      </c>
      <c r="S93" s="29">
        <f t="shared" si="39"/>
        <v>71315</v>
      </c>
    </row>
    <row r="94" spans="1:19" ht="61.15" customHeight="1" thickBot="1" x14ac:dyDescent="0.45">
      <c r="A94" s="25">
        <v>63</v>
      </c>
      <c r="B94" s="32">
        <v>45294</v>
      </c>
      <c r="C94" s="32">
        <v>45300</v>
      </c>
      <c r="D94" s="26" t="s">
        <v>29</v>
      </c>
      <c r="E94" s="90" t="s">
        <v>270</v>
      </c>
      <c r="F94" s="113" t="s">
        <v>271</v>
      </c>
      <c r="G94" s="26" t="s">
        <v>105</v>
      </c>
      <c r="H94" s="29">
        <v>55000</v>
      </c>
      <c r="I94" s="41">
        <f t="shared" si="35"/>
        <v>1578.5</v>
      </c>
      <c r="J94" s="29">
        <f t="shared" si="37"/>
        <v>1672</v>
      </c>
      <c r="K94" s="29">
        <f t="shared" si="36"/>
        <v>51749.5</v>
      </c>
      <c r="L94" s="41">
        <v>3899.5000000000005</v>
      </c>
      <c r="M94" s="29"/>
      <c r="N94" s="29">
        <v>0</v>
      </c>
      <c r="O94" s="29">
        <v>25</v>
      </c>
      <c r="P94" s="29"/>
      <c r="Q94" s="82"/>
      <c r="R94" s="82">
        <f t="shared" si="38"/>
        <v>7175</v>
      </c>
      <c r="S94" s="29">
        <f t="shared" si="39"/>
        <v>47825</v>
      </c>
    </row>
    <row r="95" spans="1:19" ht="48.6" customHeight="1" thickBot="1" x14ac:dyDescent="0.45">
      <c r="A95" s="111"/>
      <c r="B95" s="148" t="s">
        <v>123</v>
      </c>
      <c r="C95" s="149"/>
      <c r="D95" s="149"/>
      <c r="E95" s="149"/>
      <c r="F95" s="149"/>
      <c r="G95" s="34"/>
      <c r="H95" s="85">
        <f>H84+H85+H86+H87+H88+H89+H90+H91+H92+H93+H94</f>
        <v>1147000</v>
      </c>
      <c r="I95" s="85">
        <f t="shared" ref="I95:S95" si="40">I84+I85+I86+I87+I88+I89+I90+I91+I92+I93+I94</f>
        <v>32918.9</v>
      </c>
      <c r="J95" s="85">
        <f t="shared" si="40"/>
        <v>33151.96</v>
      </c>
      <c r="K95" s="85">
        <f t="shared" si="40"/>
        <v>1080929.1400000001</v>
      </c>
      <c r="L95" s="85">
        <f t="shared" si="40"/>
        <v>145900.15999999997</v>
      </c>
      <c r="M95" s="85">
        <f t="shared" si="40"/>
        <v>0</v>
      </c>
      <c r="N95" s="85">
        <f t="shared" si="40"/>
        <v>1715.46</v>
      </c>
      <c r="O95" s="85">
        <f t="shared" si="40"/>
        <v>275</v>
      </c>
      <c r="P95" s="85">
        <f t="shared" si="40"/>
        <v>0</v>
      </c>
      <c r="Q95" s="85">
        <f t="shared" si="40"/>
        <v>6309.38</v>
      </c>
      <c r="R95" s="85">
        <f t="shared" si="40"/>
        <v>207652.1</v>
      </c>
      <c r="S95" s="85">
        <f t="shared" si="40"/>
        <v>939347.9</v>
      </c>
    </row>
    <row r="96" spans="1:19" ht="48.6" customHeight="1" thickBot="1" x14ac:dyDescent="0.45">
      <c r="A96" s="111"/>
      <c r="B96" s="157" t="s">
        <v>235</v>
      </c>
      <c r="C96" s="158"/>
      <c r="D96" s="158"/>
      <c r="E96" s="158"/>
      <c r="F96" s="35"/>
      <c r="G96" s="34"/>
      <c r="H96" s="84"/>
      <c r="I96" s="84"/>
      <c r="J96" s="84"/>
      <c r="K96" s="84"/>
      <c r="L96" s="84"/>
      <c r="M96" s="84"/>
      <c r="N96" s="84"/>
      <c r="O96" s="84"/>
      <c r="P96" s="84"/>
      <c r="Q96" s="89"/>
      <c r="R96" s="89"/>
      <c r="S96" s="84"/>
    </row>
    <row r="97" spans="1:19" ht="37.5" customHeight="1" thickBot="1" x14ac:dyDescent="0.45">
      <c r="A97" s="25">
        <v>64</v>
      </c>
      <c r="B97" s="26" t="s">
        <v>236</v>
      </c>
      <c r="C97" s="26">
        <v>45295</v>
      </c>
      <c r="D97" s="27" t="s">
        <v>29</v>
      </c>
      <c r="E97" s="28" t="s">
        <v>237</v>
      </c>
      <c r="F97" s="28" t="s">
        <v>238</v>
      </c>
      <c r="G97" s="27" t="s">
        <v>105</v>
      </c>
      <c r="H97" s="29">
        <v>115000</v>
      </c>
      <c r="I97" s="30">
        <f>+H97*2.87%</f>
        <v>3300.5</v>
      </c>
      <c r="J97" s="30">
        <f t="shared" ref="J97" si="41">H97*3.04%</f>
        <v>3496</v>
      </c>
      <c r="K97" s="30">
        <f>H97-I97-J97</f>
        <v>108203.5</v>
      </c>
      <c r="L97" s="51">
        <v>15633.74</v>
      </c>
      <c r="M97" s="51"/>
      <c r="N97" s="30"/>
      <c r="O97" s="30">
        <v>25</v>
      </c>
      <c r="P97" s="30"/>
      <c r="Q97" s="87">
        <v>10380.24</v>
      </c>
      <c r="R97" s="87">
        <f>I97+J97+L97+N97+O97+P97-Q97</f>
        <v>12074.999999999998</v>
      </c>
      <c r="S97" s="30">
        <f>H97-R97</f>
        <v>102925</v>
      </c>
    </row>
    <row r="98" spans="1:19" ht="37.5" customHeight="1" thickBot="1" x14ac:dyDescent="0.45">
      <c r="A98" s="25"/>
      <c r="B98" s="32"/>
      <c r="C98" s="39"/>
      <c r="D98" s="100"/>
      <c r="E98" s="50"/>
      <c r="F98" s="28"/>
      <c r="G98" s="27"/>
      <c r="H98" s="114">
        <f>H97</f>
        <v>115000</v>
      </c>
      <c r="I98" s="114">
        <f>I97</f>
        <v>3300.5</v>
      </c>
      <c r="J98" s="114">
        <f>J97</f>
        <v>3496</v>
      </c>
      <c r="K98" s="114">
        <f t="shared" ref="K98:R98" si="42">K97</f>
        <v>108203.5</v>
      </c>
      <c r="L98" s="114">
        <f>L97</f>
        <v>15633.74</v>
      </c>
      <c r="M98" s="114"/>
      <c r="N98" s="114">
        <f t="shared" si="42"/>
        <v>0</v>
      </c>
      <c r="O98" s="114">
        <f t="shared" si="42"/>
        <v>25</v>
      </c>
      <c r="P98" s="114">
        <f t="shared" si="42"/>
        <v>0</v>
      </c>
      <c r="Q98" s="114">
        <f t="shared" si="42"/>
        <v>10380.24</v>
      </c>
      <c r="R98" s="115">
        <f t="shared" si="42"/>
        <v>12074.999999999998</v>
      </c>
      <c r="S98" s="114">
        <f>S97</f>
        <v>102925</v>
      </c>
    </row>
    <row r="99" spans="1:19" ht="48.6" customHeight="1" thickBot="1" x14ac:dyDescent="0.45">
      <c r="A99" s="25"/>
      <c r="B99" s="157" t="s">
        <v>239</v>
      </c>
      <c r="C99" s="158"/>
      <c r="D99" s="158"/>
      <c r="E99" s="159"/>
      <c r="F99" s="28"/>
      <c r="G99" s="116"/>
      <c r="H99" s="117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9"/>
    </row>
    <row r="100" spans="1:19" ht="37.15" customHeight="1" thickBot="1" x14ac:dyDescent="0.45">
      <c r="A100" s="25">
        <v>65</v>
      </c>
      <c r="B100" s="26">
        <v>44113</v>
      </c>
      <c r="C100" s="26">
        <v>45292</v>
      </c>
      <c r="D100" s="27" t="s">
        <v>23</v>
      </c>
      <c r="E100" s="28" t="s">
        <v>240</v>
      </c>
      <c r="F100" s="28" t="s">
        <v>241</v>
      </c>
      <c r="G100" s="27" t="s">
        <v>105</v>
      </c>
      <c r="H100" s="48">
        <v>250000</v>
      </c>
      <c r="I100" s="49">
        <f t="shared" ref="I100:I108" si="43">+H100*2.87%</f>
        <v>7175</v>
      </c>
      <c r="J100" s="49">
        <f>193525*3.04%</f>
        <v>5883.16</v>
      </c>
      <c r="K100" s="49">
        <f t="shared" ref="K100:K108" si="44">H100-I100-J100</f>
        <v>236941.84</v>
      </c>
      <c r="L100" s="120">
        <v>47389.46</v>
      </c>
      <c r="M100" s="120"/>
      <c r="N100" s="49">
        <v>1715.46</v>
      </c>
      <c r="O100" s="49">
        <v>25</v>
      </c>
      <c r="P100" s="49">
        <v>0</v>
      </c>
      <c r="Q100" s="121"/>
      <c r="R100" s="121">
        <f>I100+J100+L100+P100+O100+N100</f>
        <v>62188.079999999994</v>
      </c>
      <c r="S100" s="49">
        <f>H100-R100</f>
        <v>187811.92</v>
      </c>
    </row>
    <row r="101" spans="1:19" ht="61.9" customHeight="1" thickBot="1" x14ac:dyDescent="0.45">
      <c r="A101" s="25">
        <v>66</v>
      </c>
      <c r="B101" s="26">
        <v>44621</v>
      </c>
      <c r="C101" s="26">
        <v>45297</v>
      </c>
      <c r="D101" s="27" t="s">
        <v>29</v>
      </c>
      <c r="E101" s="50" t="s">
        <v>242</v>
      </c>
      <c r="F101" s="122" t="s">
        <v>243</v>
      </c>
      <c r="G101" s="123" t="s">
        <v>105</v>
      </c>
      <c r="H101" s="29">
        <v>85000</v>
      </c>
      <c r="I101" s="29">
        <f t="shared" si="43"/>
        <v>2439.5</v>
      </c>
      <c r="J101" s="29">
        <f t="shared" ref="J101:J108" si="45">H101*3.04%</f>
        <v>2584</v>
      </c>
      <c r="K101" s="29">
        <f t="shared" si="44"/>
        <v>79976.5</v>
      </c>
      <c r="L101" s="51">
        <v>8576.99</v>
      </c>
      <c r="M101" s="51"/>
      <c r="N101" s="51"/>
      <c r="O101" s="51">
        <v>25</v>
      </c>
      <c r="P101" s="51">
        <v>0</v>
      </c>
      <c r="Q101" s="124"/>
      <c r="R101" s="121">
        <f t="shared" ref="R101:R108" si="46">I101+J101+L101+P101+O101+N101</f>
        <v>13625.49</v>
      </c>
      <c r="S101" s="49">
        <f t="shared" ref="S101:S108" si="47">H101-R101</f>
        <v>71374.509999999995</v>
      </c>
    </row>
    <row r="102" spans="1:19" ht="69" customHeight="1" thickBot="1" x14ac:dyDescent="0.45">
      <c r="A102" s="25">
        <v>67</v>
      </c>
      <c r="B102" s="26">
        <v>44958</v>
      </c>
      <c r="C102" s="26">
        <v>45292</v>
      </c>
      <c r="D102" s="27" t="s">
        <v>29</v>
      </c>
      <c r="E102" s="50" t="s">
        <v>244</v>
      </c>
      <c r="F102" s="122" t="s">
        <v>245</v>
      </c>
      <c r="G102" s="123" t="s">
        <v>105</v>
      </c>
      <c r="H102" s="29">
        <v>95000</v>
      </c>
      <c r="I102" s="29">
        <f t="shared" si="43"/>
        <v>2726.5</v>
      </c>
      <c r="J102" s="29">
        <f t="shared" si="45"/>
        <v>2888</v>
      </c>
      <c r="K102" s="29">
        <f t="shared" si="44"/>
        <v>89385.5</v>
      </c>
      <c r="L102" s="51">
        <v>10929.24</v>
      </c>
      <c r="M102" s="51"/>
      <c r="N102" s="51"/>
      <c r="O102" s="51">
        <v>25</v>
      </c>
      <c r="P102" s="51">
        <v>0</v>
      </c>
      <c r="Q102" s="124"/>
      <c r="R102" s="121">
        <f t="shared" si="46"/>
        <v>16568.739999999998</v>
      </c>
      <c r="S102" s="49">
        <f t="shared" si="47"/>
        <v>78431.260000000009</v>
      </c>
    </row>
    <row r="103" spans="1:19" ht="69" customHeight="1" thickBot="1" x14ac:dyDescent="0.45">
      <c r="A103" s="25">
        <v>68</v>
      </c>
      <c r="B103" s="26">
        <v>45294</v>
      </c>
      <c r="C103" s="26">
        <v>45300</v>
      </c>
      <c r="D103" s="27" t="s">
        <v>23</v>
      </c>
      <c r="E103" s="50" t="s">
        <v>272</v>
      </c>
      <c r="F103" s="122" t="s">
        <v>273</v>
      </c>
      <c r="G103" s="123" t="s">
        <v>105</v>
      </c>
      <c r="H103" s="29">
        <v>130000</v>
      </c>
      <c r="I103" s="29">
        <f t="shared" si="43"/>
        <v>3731</v>
      </c>
      <c r="J103" s="29">
        <f t="shared" si="45"/>
        <v>3952</v>
      </c>
      <c r="K103" s="29">
        <f t="shared" si="44"/>
        <v>122317</v>
      </c>
      <c r="L103" s="51">
        <v>19162.12</v>
      </c>
      <c r="M103" s="51"/>
      <c r="N103" s="51"/>
      <c r="O103" s="51">
        <v>25</v>
      </c>
      <c r="P103" s="51">
        <v>0</v>
      </c>
      <c r="Q103" s="124"/>
      <c r="R103" s="121">
        <f t="shared" si="46"/>
        <v>26870.12</v>
      </c>
      <c r="S103" s="49">
        <f t="shared" si="47"/>
        <v>103129.88</v>
      </c>
    </row>
    <row r="104" spans="1:19" ht="63.6" customHeight="1" thickBot="1" x14ac:dyDescent="0.45">
      <c r="A104" s="25">
        <v>69</v>
      </c>
      <c r="B104" s="26">
        <v>44958</v>
      </c>
      <c r="C104" s="26">
        <v>45293</v>
      </c>
      <c r="D104" s="27" t="s">
        <v>23</v>
      </c>
      <c r="E104" s="50" t="s">
        <v>246</v>
      </c>
      <c r="F104" s="122" t="s">
        <v>247</v>
      </c>
      <c r="G104" s="123" t="s">
        <v>105</v>
      </c>
      <c r="H104" s="29">
        <v>85000</v>
      </c>
      <c r="I104" s="29">
        <f t="shared" si="43"/>
        <v>2439.5</v>
      </c>
      <c r="J104" s="29">
        <f t="shared" si="45"/>
        <v>2584</v>
      </c>
      <c r="K104" s="29">
        <f t="shared" si="44"/>
        <v>79976.5</v>
      </c>
      <c r="L104" s="51">
        <v>8576.99</v>
      </c>
      <c r="M104" s="51"/>
      <c r="N104" s="51"/>
      <c r="O104" s="51">
        <v>25</v>
      </c>
      <c r="P104" s="51">
        <v>0</v>
      </c>
      <c r="Q104" s="124"/>
      <c r="R104" s="121">
        <f t="shared" si="46"/>
        <v>13625.49</v>
      </c>
      <c r="S104" s="49">
        <f t="shared" si="47"/>
        <v>71374.509999999995</v>
      </c>
    </row>
    <row r="105" spans="1:19" ht="63.6" customHeight="1" thickBot="1" x14ac:dyDescent="0.45">
      <c r="A105" s="25">
        <v>70</v>
      </c>
      <c r="B105" s="26">
        <v>44929</v>
      </c>
      <c r="C105" s="26">
        <v>45294</v>
      </c>
      <c r="D105" s="27" t="s">
        <v>29</v>
      </c>
      <c r="E105" s="50" t="s">
        <v>248</v>
      </c>
      <c r="F105" s="122" t="s">
        <v>247</v>
      </c>
      <c r="G105" s="123" t="s">
        <v>105</v>
      </c>
      <c r="H105" s="29">
        <v>85000</v>
      </c>
      <c r="I105" s="29">
        <f t="shared" si="43"/>
        <v>2439.5</v>
      </c>
      <c r="J105" s="29">
        <f t="shared" si="45"/>
        <v>2584</v>
      </c>
      <c r="K105" s="29">
        <f t="shared" si="44"/>
        <v>79976.5</v>
      </c>
      <c r="L105" s="51">
        <v>8576.99</v>
      </c>
      <c r="M105" s="51"/>
      <c r="N105" s="51"/>
      <c r="O105" s="51">
        <v>25</v>
      </c>
      <c r="P105" s="51">
        <v>0</v>
      </c>
      <c r="Q105" s="124"/>
      <c r="R105" s="121">
        <f t="shared" si="46"/>
        <v>13625.49</v>
      </c>
      <c r="S105" s="49">
        <f t="shared" si="47"/>
        <v>71374.509999999995</v>
      </c>
    </row>
    <row r="106" spans="1:19" ht="63.6" customHeight="1" thickBot="1" x14ac:dyDescent="0.45">
      <c r="A106" s="25">
        <v>71</v>
      </c>
      <c r="B106" s="26">
        <v>44932</v>
      </c>
      <c r="C106" s="26">
        <v>45297</v>
      </c>
      <c r="D106" s="27" t="s">
        <v>29</v>
      </c>
      <c r="E106" s="50" t="s">
        <v>249</v>
      </c>
      <c r="F106" s="122" t="s">
        <v>250</v>
      </c>
      <c r="G106" s="123" t="s">
        <v>105</v>
      </c>
      <c r="H106" s="29">
        <v>75000</v>
      </c>
      <c r="I106" s="29">
        <f t="shared" si="43"/>
        <v>2152.5</v>
      </c>
      <c r="J106" s="29">
        <f t="shared" si="45"/>
        <v>2280</v>
      </c>
      <c r="K106" s="29">
        <f t="shared" si="44"/>
        <v>70567.5</v>
      </c>
      <c r="L106" s="51">
        <v>6309.38</v>
      </c>
      <c r="M106" s="51"/>
      <c r="N106" s="51"/>
      <c r="O106" s="51">
        <v>25</v>
      </c>
      <c r="P106" s="51">
        <v>0</v>
      </c>
      <c r="Q106" s="124"/>
      <c r="R106" s="121">
        <f t="shared" si="46"/>
        <v>10766.880000000001</v>
      </c>
      <c r="S106" s="49">
        <f t="shared" si="47"/>
        <v>64233.119999999995</v>
      </c>
    </row>
    <row r="107" spans="1:19" ht="63.6" customHeight="1" thickBot="1" x14ac:dyDescent="0.45">
      <c r="A107" s="25">
        <v>72</v>
      </c>
      <c r="B107" s="26">
        <v>44932</v>
      </c>
      <c r="C107" s="26">
        <v>45297</v>
      </c>
      <c r="D107" s="27" t="s">
        <v>29</v>
      </c>
      <c r="E107" s="50" t="s">
        <v>251</v>
      </c>
      <c r="F107" s="122" t="s">
        <v>252</v>
      </c>
      <c r="G107" s="123" t="s">
        <v>105</v>
      </c>
      <c r="H107" s="29">
        <v>60000</v>
      </c>
      <c r="I107" s="29">
        <f t="shared" si="43"/>
        <v>1722</v>
      </c>
      <c r="J107" s="29">
        <f t="shared" si="45"/>
        <v>1824</v>
      </c>
      <c r="K107" s="29">
        <f t="shared" si="44"/>
        <v>56454</v>
      </c>
      <c r="L107" s="51">
        <v>3486.68</v>
      </c>
      <c r="M107" s="51"/>
      <c r="N107" s="51"/>
      <c r="O107" s="51">
        <v>25</v>
      </c>
      <c r="P107" s="51">
        <v>0</v>
      </c>
      <c r="Q107" s="124"/>
      <c r="R107" s="121">
        <f t="shared" si="46"/>
        <v>7057.68</v>
      </c>
      <c r="S107" s="49">
        <f t="shared" si="47"/>
        <v>52942.32</v>
      </c>
    </row>
    <row r="108" spans="1:19" ht="63.6" customHeight="1" thickBot="1" x14ac:dyDescent="0.45">
      <c r="A108" s="25">
        <v>73</v>
      </c>
      <c r="B108" s="26">
        <v>44937</v>
      </c>
      <c r="C108" s="26">
        <v>45296</v>
      </c>
      <c r="D108" s="27" t="s">
        <v>29</v>
      </c>
      <c r="E108" s="50" t="s">
        <v>253</v>
      </c>
      <c r="F108" s="122" t="s">
        <v>254</v>
      </c>
      <c r="G108" s="123" t="s">
        <v>105</v>
      </c>
      <c r="H108" s="29">
        <v>82000</v>
      </c>
      <c r="I108" s="29">
        <f t="shared" si="43"/>
        <v>2353.4</v>
      </c>
      <c r="J108" s="29">
        <f t="shared" si="45"/>
        <v>2492.8000000000002</v>
      </c>
      <c r="K108" s="29">
        <f t="shared" si="44"/>
        <v>77153.8</v>
      </c>
      <c r="L108" s="51">
        <v>7871.32</v>
      </c>
      <c r="M108" s="51"/>
      <c r="N108" s="51"/>
      <c r="O108" s="51">
        <v>25</v>
      </c>
      <c r="P108" s="51">
        <v>0</v>
      </c>
      <c r="Q108" s="124"/>
      <c r="R108" s="121">
        <f t="shared" si="46"/>
        <v>12742.52</v>
      </c>
      <c r="S108" s="49">
        <f t="shared" si="47"/>
        <v>69257.48</v>
      </c>
    </row>
    <row r="109" spans="1:19" ht="48.6" customHeight="1" thickBot="1" x14ac:dyDescent="0.45">
      <c r="A109" s="25"/>
      <c r="B109" s="148" t="s">
        <v>123</v>
      </c>
      <c r="C109" s="149"/>
      <c r="D109" s="149"/>
      <c r="E109" s="149"/>
      <c r="F109" s="150"/>
      <c r="G109" s="28"/>
      <c r="H109" s="85">
        <f>SUM(H100:H108)</f>
        <v>947000</v>
      </c>
      <c r="I109" s="85">
        <f t="shared" ref="I109:R109" si="48">SUM(I100:I108)</f>
        <v>27178.9</v>
      </c>
      <c r="J109" s="85">
        <f t="shared" si="48"/>
        <v>27071.96</v>
      </c>
      <c r="K109" s="85">
        <f t="shared" si="48"/>
        <v>892749.14</v>
      </c>
      <c r="L109" s="85">
        <f>SUM(L100:L108)</f>
        <v>120879.17000000001</v>
      </c>
      <c r="M109" s="85">
        <f t="shared" si="48"/>
        <v>0</v>
      </c>
      <c r="N109" s="85">
        <f t="shared" si="48"/>
        <v>1715.46</v>
      </c>
      <c r="O109" s="85">
        <f t="shared" si="48"/>
        <v>225</v>
      </c>
      <c r="P109" s="85">
        <f t="shared" si="48"/>
        <v>0</v>
      </c>
      <c r="Q109" s="85">
        <f t="shared" si="48"/>
        <v>0</v>
      </c>
      <c r="R109" s="85">
        <f t="shared" si="48"/>
        <v>177070.48999999996</v>
      </c>
      <c r="S109" s="85">
        <f>SUM(S100:S108)</f>
        <v>769929.50999999989</v>
      </c>
    </row>
    <row r="110" spans="1:19" ht="37.5" customHeight="1" thickBot="1" x14ac:dyDescent="0.45">
      <c r="A110" s="160"/>
      <c r="B110" s="162"/>
      <c r="C110" s="163"/>
      <c r="D110" s="163"/>
      <c r="E110" s="163"/>
      <c r="F110" s="164"/>
      <c r="G110" s="28"/>
      <c r="H110" s="29"/>
      <c r="I110" s="51"/>
      <c r="J110" s="51"/>
      <c r="K110" s="51"/>
      <c r="L110" s="51"/>
      <c r="M110" s="51"/>
      <c r="N110" s="51"/>
      <c r="O110" s="51"/>
      <c r="P110" s="51"/>
      <c r="Q110" s="124"/>
      <c r="R110" s="124"/>
      <c r="S110" s="51"/>
    </row>
    <row r="111" spans="1:19" ht="37.5" customHeight="1" thickBot="1" x14ac:dyDescent="0.45">
      <c r="A111" s="161"/>
      <c r="B111" s="165"/>
      <c r="C111" s="166"/>
      <c r="D111" s="166"/>
      <c r="E111" s="166"/>
      <c r="F111" s="167"/>
      <c r="G111" s="28"/>
      <c r="H111" s="29"/>
      <c r="I111" s="51"/>
      <c r="J111" s="51"/>
      <c r="K111" s="51"/>
      <c r="L111" s="51"/>
      <c r="M111" s="51"/>
      <c r="N111" s="51"/>
      <c r="O111" s="51"/>
      <c r="P111" s="51"/>
      <c r="Q111" s="124"/>
      <c r="R111" s="124"/>
      <c r="S111" s="51"/>
    </row>
    <row r="112" spans="1:19" ht="48.6" customHeight="1" thickBot="1" x14ac:dyDescent="0.45">
      <c r="A112" s="25"/>
      <c r="B112" s="148" t="s">
        <v>84</v>
      </c>
      <c r="C112" s="149"/>
      <c r="D112" s="149"/>
      <c r="E112" s="149"/>
      <c r="F112" s="150"/>
      <c r="G112" s="28"/>
      <c r="H112" s="85">
        <f>H17+H32+H41+H57+H62+H69+H75+H82+H95+H98+H109+H22+H65</f>
        <v>7704500</v>
      </c>
      <c r="I112" s="85">
        <f t="shared" ref="I112:S112" si="49">I17+I32+I41+I57+I62+I69+I75+I82+I95+I98+I109+I22+I65</f>
        <v>221119.15</v>
      </c>
      <c r="J112" s="85">
        <f t="shared" si="49"/>
        <v>223218.08</v>
      </c>
      <c r="K112" s="85">
        <f t="shared" si="49"/>
        <v>7260162.7699999996</v>
      </c>
      <c r="L112" s="85">
        <f t="shared" si="49"/>
        <v>993747.06800000009</v>
      </c>
      <c r="M112" s="85">
        <f t="shared" si="49"/>
        <v>0</v>
      </c>
      <c r="N112" s="85">
        <f t="shared" si="49"/>
        <v>12008.2</v>
      </c>
      <c r="O112" s="85">
        <f t="shared" si="49"/>
        <v>1825</v>
      </c>
      <c r="P112" s="85">
        <f t="shared" si="49"/>
        <v>29455.039999999997</v>
      </c>
      <c r="Q112" s="85">
        <f t="shared" si="49"/>
        <v>52942.640000000007</v>
      </c>
      <c r="R112" s="85">
        <f t="shared" si="49"/>
        <v>1428429.898</v>
      </c>
      <c r="S112" s="85">
        <f t="shared" si="49"/>
        <v>6276070.101999999</v>
      </c>
    </row>
    <row r="113" spans="4:19" ht="37.5" customHeight="1" x14ac:dyDescent="0.35">
      <c r="D113" s="3"/>
      <c r="E113" s="5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58"/>
      <c r="Q113" s="58"/>
      <c r="R113" s="3"/>
      <c r="S113" s="57"/>
    </row>
    <row r="114" spans="4:19" ht="37.5" customHeight="1" x14ac:dyDescent="0.4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58"/>
      <c r="Q114" s="58"/>
      <c r="R114" s="3"/>
      <c r="S114" s="125"/>
    </row>
    <row r="115" spans="4:19" ht="37.5" customHeight="1" x14ac:dyDescent="0.35">
      <c r="D115" s="3"/>
      <c r="E115" s="11"/>
      <c r="F115" s="3"/>
      <c r="G115" s="11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26"/>
    </row>
    <row r="116" spans="4:19" ht="37.5" customHeight="1" x14ac:dyDescent="0.45">
      <c r="D116" s="3"/>
      <c r="F116" s="4" t="s">
        <v>85</v>
      </c>
      <c r="G116" s="3"/>
      <c r="H116" s="9"/>
      <c r="I116" s="140" t="s">
        <v>255</v>
      </c>
      <c r="J116" s="140"/>
      <c r="K116" s="140"/>
      <c r="L116" s="59"/>
      <c r="M116" s="59"/>
      <c r="N116" s="59"/>
      <c r="O116" s="59"/>
      <c r="P116" s="60"/>
      <c r="Q116" s="60"/>
      <c r="R116" s="3"/>
      <c r="S116" s="127"/>
    </row>
    <row r="117" spans="4:19" ht="37.5" customHeight="1" x14ac:dyDescent="0.4">
      <c r="D117" s="3"/>
      <c r="F117" s="4" t="s">
        <v>87</v>
      </c>
      <c r="G117" s="3"/>
      <c r="H117" s="3"/>
      <c r="I117" s="3"/>
      <c r="J117" s="4" t="s">
        <v>88</v>
      </c>
      <c r="K117" s="3"/>
      <c r="L117" s="3"/>
      <c r="M117" s="3"/>
      <c r="N117" s="3"/>
      <c r="O117" s="3"/>
      <c r="P117" s="60"/>
      <c r="Q117" s="60"/>
      <c r="R117" s="3"/>
      <c r="S117" s="128"/>
    </row>
    <row r="118" spans="4:19" ht="37.5" customHeight="1" x14ac:dyDescent="0.3">
      <c r="E118" s="63"/>
      <c r="F118" s="63"/>
      <c r="G118" s="129"/>
      <c r="H118" s="63"/>
      <c r="I118" s="64"/>
      <c r="J118" s="64"/>
      <c r="K118" s="64"/>
      <c r="L118" s="75"/>
      <c r="M118" s="75"/>
      <c r="N118" s="65"/>
      <c r="O118" s="66"/>
      <c r="P118" s="3"/>
      <c r="Q118" s="3"/>
      <c r="R118" s="3"/>
      <c r="S118" s="3"/>
    </row>
    <row r="119" spans="4:19" ht="37.5" customHeight="1" x14ac:dyDescent="0.4">
      <c r="D119" s="67"/>
      <c r="E119" s="68"/>
      <c r="F119" s="68"/>
      <c r="G119" s="130"/>
      <c r="H119" s="69"/>
    </row>
  </sheetData>
  <autoFilter ref="A10:S109" xr:uid="{5C7F64D7-568E-4F7F-82D6-22C834F135E8}"/>
  <mergeCells count="30">
    <mergeCell ref="A110:A111"/>
    <mergeCell ref="B110:F111"/>
    <mergeCell ref="B112:F112"/>
    <mergeCell ref="I116:K116"/>
    <mergeCell ref="B75:F75"/>
    <mergeCell ref="B76:E76"/>
    <mergeCell ref="B82:F82"/>
    <mergeCell ref="B83:E83"/>
    <mergeCell ref="B95:F95"/>
    <mergeCell ref="B96:E96"/>
    <mergeCell ref="B99:E99"/>
    <mergeCell ref="B109:F109"/>
    <mergeCell ref="B70:E70"/>
    <mergeCell ref="B32:F32"/>
    <mergeCell ref="B33:E33"/>
    <mergeCell ref="B41:F41"/>
    <mergeCell ref="B42:E42"/>
    <mergeCell ref="B57:F57"/>
    <mergeCell ref="B58:E58"/>
    <mergeCell ref="B62:F62"/>
    <mergeCell ref="B63:E63"/>
    <mergeCell ref="B65:F65"/>
    <mergeCell ref="B66:E66"/>
    <mergeCell ref="B69:F69"/>
    <mergeCell ref="B23:E23"/>
    <mergeCell ref="I9:J9"/>
    <mergeCell ref="K9:P9"/>
    <mergeCell ref="B17:F17"/>
    <mergeCell ref="B18:E18"/>
    <mergeCell ref="B22:F22"/>
  </mergeCells>
  <pageMargins left="0.25" right="0.25" top="0.75" bottom="0.75" header="0.3" footer="0.3"/>
  <pageSetup paperSize="5" scale="2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8C88F-3B35-4512-AC31-06B3A3D2D6B2}">
  <sheetPr>
    <pageSetUpPr fitToPage="1"/>
  </sheetPr>
  <dimension ref="A1:Q64"/>
  <sheetViews>
    <sheetView showGridLines="0" topLeftCell="D28" zoomScale="40" zoomScaleNormal="40" zoomScaleSheetLayoutView="30" workbookViewId="0">
      <selection activeCell="O19" sqref="O19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5">
      <c r="C4" s="2"/>
      <c r="D4" s="2"/>
      <c r="E4" s="2"/>
      <c r="F4" s="2"/>
      <c r="G4" s="140" t="s">
        <v>0</v>
      </c>
      <c r="H4" s="140"/>
      <c r="I4" s="140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5">
      <c r="D5" s="5"/>
      <c r="E5" s="5"/>
      <c r="F5" s="5"/>
      <c r="G5" s="140" t="s">
        <v>1</v>
      </c>
      <c r="H5" s="140"/>
      <c r="I5" s="140"/>
      <c r="J5" s="5"/>
      <c r="K5" s="5"/>
      <c r="L5" s="5"/>
      <c r="M5" s="5"/>
      <c r="N5" s="5"/>
      <c r="O5" s="5"/>
      <c r="P5" s="5"/>
      <c r="Q5" s="3"/>
    </row>
    <row r="6" spans="1:17" ht="38.450000000000003" customHeight="1" x14ac:dyDescent="0.45">
      <c r="E6" s="6"/>
      <c r="F6" s="6"/>
      <c r="G6" s="140" t="s">
        <v>276</v>
      </c>
      <c r="H6" s="140"/>
      <c r="I6" s="140"/>
      <c r="J6" s="6"/>
      <c r="K6" s="6"/>
      <c r="L6" s="6"/>
      <c r="M6" s="6"/>
      <c r="N6" s="6"/>
      <c r="O6" s="6"/>
      <c r="P6" s="6"/>
      <c r="Q6" s="3"/>
    </row>
    <row r="7" spans="1:17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17" ht="43.15" customHeight="1" x14ac:dyDescent="0.45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17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17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17" ht="37.5" customHeight="1" thickBot="1" x14ac:dyDescent="0.45">
      <c r="C11" s="11"/>
      <c r="D11" s="12"/>
      <c r="E11" s="12"/>
      <c r="F11" s="12"/>
      <c r="G11" s="13" t="s">
        <v>2</v>
      </c>
      <c r="H11" s="141" t="s">
        <v>3</v>
      </c>
      <c r="I11" s="142"/>
      <c r="J11" s="141" t="s">
        <v>4</v>
      </c>
      <c r="K11" s="143"/>
      <c r="L11" s="143"/>
      <c r="M11" s="143"/>
      <c r="N11" s="143"/>
      <c r="O11" s="142"/>
      <c r="P11" s="12"/>
      <c r="Q11" s="14"/>
    </row>
    <row r="12" spans="1:17" ht="126" customHeight="1" thickBot="1" x14ac:dyDescent="0.3">
      <c r="A12" s="131" t="s">
        <v>5</v>
      </c>
      <c r="B12" s="131" t="s">
        <v>6</v>
      </c>
      <c r="C12" s="131" t="s">
        <v>7</v>
      </c>
      <c r="D12" s="131" t="s">
        <v>8</v>
      </c>
      <c r="E12" s="132" t="s">
        <v>9</v>
      </c>
      <c r="F12" s="132" t="s">
        <v>10</v>
      </c>
      <c r="G12" s="132" t="s">
        <v>11</v>
      </c>
      <c r="H12" s="133" t="s">
        <v>12</v>
      </c>
      <c r="I12" s="132" t="s">
        <v>13</v>
      </c>
      <c r="J12" s="132" t="s">
        <v>14</v>
      </c>
      <c r="K12" s="134" t="s">
        <v>15</v>
      </c>
      <c r="L12" s="135" t="s">
        <v>16</v>
      </c>
      <c r="M12" s="133" t="s">
        <v>17</v>
      </c>
      <c r="N12" s="131" t="s">
        <v>18</v>
      </c>
      <c r="O12" s="136" t="s">
        <v>4</v>
      </c>
      <c r="P12" s="132" t="s">
        <v>19</v>
      </c>
      <c r="Q12" s="137" t="s">
        <v>20</v>
      </c>
    </row>
    <row r="13" spans="1:17" ht="48.6" customHeight="1" thickBot="1" x14ac:dyDescent="0.3">
      <c r="B13" s="144" t="s">
        <v>21</v>
      </c>
      <c r="C13" s="145"/>
      <c r="D13" s="146"/>
      <c r="E13" s="20"/>
      <c r="F13" s="20"/>
      <c r="G13" s="20"/>
      <c r="H13" s="21"/>
      <c r="I13" s="20"/>
      <c r="J13" s="20"/>
      <c r="K13" s="20"/>
      <c r="L13" s="22"/>
      <c r="M13" s="21"/>
      <c r="N13" s="22"/>
      <c r="O13" s="23"/>
      <c r="P13" s="20"/>
      <c r="Q13" s="24"/>
    </row>
    <row r="14" spans="1:17" ht="37.5" customHeight="1" thickBot="1" x14ac:dyDescent="0.5">
      <c r="A14" s="25">
        <v>1</v>
      </c>
      <c r="B14" s="26" t="s">
        <v>22</v>
      </c>
      <c r="C14" s="27" t="s">
        <v>23</v>
      </c>
      <c r="D14" s="28" t="s">
        <v>24</v>
      </c>
      <c r="E14" s="28" t="s">
        <v>25</v>
      </c>
      <c r="F14" s="28" t="s">
        <v>26</v>
      </c>
      <c r="G14" s="29">
        <v>500000</v>
      </c>
      <c r="H14" s="30">
        <f>387050*2.87%</f>
        <v>11108.334999999999</v>
      </c>
      <c r="I14" s="30">
        <f>193525*3.04%</f>
        <v>5883.16</v>
      </c>
      <c r="J14" s="30">
        <f t="shared" ref="J14:J20" si="0">G14-H14-I14</f>
        <v>483008.505</v>
      </c>
      <c r="K14" s="30">
        <v>109334.99</v>
      </c>
      <c r="L14" s="30"/>
      <c r="M14" s="30"/>
      <c r="N14" s="30"/>
      <c r="O14" s="30">
        <v>25</v>
      </c>
      <c r="P14" s="30">
        <f>H14+I14+K14+O14</f>
        <v>126351.485</v>
      </c>
      <c r="Q14" s="30">
        <f>G14-P14</f>
        <v>373648.51500000001</v>
      </c>
    </row>
    <row r="15" spans="1:17" ht="37.5" customHeight="1" thickBot="1" x14ac:dyDescent="0.45">
      <c r="A15" s="25">
        <v>2</v>
      </c>
      <c r="B15" s="26" t="s">
        <v>22</v>
      </c>
      <c r="C15" s="27" t="s">
        <v>23</v>
      </c>
      <c r="D15" s="28" t="s">
        <v>27</v>
      </c>
      <c r="E15" s="28" t="s">
        <v>28</v>
      </c>
      <c r="F15" s="28" t="s">
        <v>26</v>
      </c>
      <c r="G15" s="29">
        <v>250000</v>
      </c>
      <c r="H15" s="30">
        <f t="shared" ref="H15:H20" si="1">+G15*2.87%</f>
        <v>7175</v>
      </c>
      <c r="I15" s="30">
        <f t="shared" ref="I15:I19" si="2">193525*3.04%</f>
        <v>5883.16</v>
      </c>
      <c r="J15" s="30">
        <f t="shared" si="0"/>
        <v>236941.84</v>
      </c>
      <c r="K15" s="30">
        <v>47818.33</v>
      </c>
      <c r="L15" s="30"/>
      <c r="M15" s="30"/>
      <c r="N15" s="30"/>
      <c r="O15" s="30">
        <v>25</v>
      </c>
      <c r="P15" s="30">
        <f t="shared" ref="P15:P18" si="3">H15+I15+K15+O15</f>
        <v>60901.490000000005</v>
      </c>
      <c r="Q15" s="30">
        <f t="shared" ref="Q15:Q20" si="4">G15-P15</f>
        <v>189098.51</v>
      </c>
    </row>
    <row r="16" spans="1:17" ht="55.15" customHeight="1" thickBot="1" x14ac:dyDescent="0.5">
      <c r="A16" s="25">
        <v>3</v>
      </c>
      <c r="B16" s="26">
        <v>44205</v>
      </c>
      <c r="C16" s="27" t="s">
        <v>29</v>
      </c>
      <c r="D16" s="28" t="s">
        <v>30</v>
      </c>
      <c r="E16" s="31" t="s">
        <v>31</v>
      </c>
      <c r="F16" s="28" t="s">
        <v>26</v>
      </c>
      <c r="G16" s="29">
        <v>110000</v>
      </c>
      <c r="H16" s="30">
        <f t="shared" si="1"/>
        <v>3157</v>
      </c>
      <c r="I16" s="30">
        <f>G16*3.04%</f>
        <v>3344</v>
      </c>
      <c r="J16" s="30">
        <f t="shared" si="0"/>
        <v>103499</v>
      </c>
      <c r="K16" s="30">
        <v>14457.62</v>
      </c>
      <c r="L16" s="30"/>
      <c r="M16" s="30"/>
      <c r="N16" s="30">
        <v>13480.07</v>
      </c>
      <c r="O16" s="30">
        <v>25</v>
      </c>
      <c r="P16" s="30">
        <f>H16+I16+K16+O16+N16</f>
        <v>34463.69</v>
      </c>
      <c r="Q16" s="30">
        <f>G16-P16</f>
        <v>75536.31</v>
      </c>
    </row>
    <row r="17" spans="1:17" ht="55.15" customHeight="1" thickBot="1" x14ac:dyDescent="0.5">
      <c r="A17" s="25">
        <v>4</v>
      </c>
      <c r="B17" s="26">
        <v>44205</v>
      </c>
      <c r="C17" s="27" t="s">
        <v>23</v>
      </c>
      <c r="D17" s="28" t="s">
        <v>32</v>
      </c>
      <c r="E17" s="31" t="s">
        <v>33</v>
      </c>
      <c r="F17" s="28" t="s">
        <v>26</v>
      </c>
      <c r="G17" s="29">
        <v>95000</v>
      </c>
      <c r="H17" s="30">
        <f t="shared" si="1"/>
        <v>2726.5</v>
      </c>
      <c r="I17" s="30">
        <f t="shared" ref="I17:I18" si="5">G17*3.04%</f>
        <v>2888</v>
      </c>
      <c r="J17" s="30">
        <f t="shared" si="0"/>
        <v>89385.5</v>
      </c>
      <c r="K17" s="30">
        <v>10929.31</v>
      </c>
      <c r="L17" s="30"/>
      <c r="M17" s="30"/>
      <c r="N17" s="30"/>
      <c r="O17" s="30">
        <v>25</v>
      </c>
      <c r="P17" s="30">
        <f t="shared" si="3"/>
        <v>16568.809999999998</v>
      </c>
      <c r="Q17" s="30">
        <f t="shared" si="4"/>
        <v>78431.19</v>
      </c>
    </row>
    <row r="18" spans="1:17" ht="55.15" customHeight="1" thickBot="1" x14ac:dyDescent="0.5">
      <c r="A18" s="25">
        <v>5</v>
      </c>
      <c r="B18" s="26">
        <v>44566</v>
      </c>
      <c r="C18" s="27" t="s">
        <v>29</v>
      </c>
      <c r="D18" s="28" t="s">
        <v>34</v>
      </c>
      <c r="E18" s="31" t="s">
        <v>35</v>
      </c>
      <c r="F18" s="28" t="s">
        <v>26</v>
      </c>
      <c r="G18" s="29">
        <v>95000</v>
      </c>
      <c r="H18" s="30">
        <f t="shared" si="1"/>
        <v>2726.5</v>
      </c>
      <c r="I18" s="30">
        <f t="shared" si="5"/>
        <v>2888</v>
      </c>
      <c r="J18" s="30">
        <f t="shared" si="0"/>
        <v>89385.5</v>
      </c>
      <c r="K18" s="30">
        <v>10929.31</v>
      </c>
      <c r="L18" s="30"/>
      <c r="M18" s="30"/>
      <c r="N18" s="30"/>
      <c r="O18" s="30">
        <v>25</v>
      </c>
      <c r="P18" s="30">
        <f t="shared" si="3"/>
        <v>16568.809999999998</v>
      </c>
      <c r="Q18" s="30">
        <f t="shared" si="4"/>
        <v>78431.19</v>
      </c>
    </row>
    <row r="19" spans="1:17" ht="66" customHeight="1" thickBot="1" x14ac:dyDescent="0.45">
      <c r="A19" s="25">
        <v>6</v>
      </c>
      <c r="B19" s="32">
        <v>44202</v>
      </c>
      <c r="C19" s="27" t="s">
        <v>23</v>
      </c>
      <c r="D19" s="28" t="s">
        <v>36</v>
      </c>
      <c r="E19" s="31" t="s">
        <v>37</v>
      </c>
      <c r="F19" s="28" t="s">
        <v>26</v>
      </c>
      <c r="G19" s="29">
        <v>200000</v>
      </c>
      <c r="H19" s="30">
        <f t="shared" si="1"/>
        <v>5740</v>
      </c>
      <c r="I19" s="30">
        <f t="shared" si="2"/>
        <v>5883.16</v>
      </c>
      <c r="J19" s="30">
        <f t="shared" si="0"/>
        <v>188376.84</v>
      </c>
      <c r="K19" s="30">
        <v>35248.21</v>
      </c>
      <c r="L19" s="30"/>
      <c r="M19" s="30">
        <v>1715.46</v>
      </c>
      <c r="N19" s="30">
        <v>19877.740000000002</v>
      </c>
      <c r="O19" s="30">
        <v>25</v>
      </c>
      <c r="P19" s="30">
        <f>H19+I19+K19+O19+M19+N19</f>
        <v>68489.569999999992</v>
      </c>
      <c r="Q19" s="30">
        <f t="shared" si="4"/>
        <v>131510.43</v>
      </c>
    </row>
    <row r="20" spans="1:17" ht="66" customHeight="1" thickBot="1" x14ac:dyDescent="0.5">
      <c r="A20" s="25">
        <v>7</v>
      </c>
      <c r="B20" s="32">
        <v>45293</v>
      </c>
      <c r="C20" s="27" t="s">
        <v>29</v>
      </c>
      <c r="D20" s="28" t="s">
        <v>261</v>
      </c>
      <c r="E20" s="31" t="s">
        <v>262</v>
      </c>
      <c r="F20" s="28" t="s">
        <v>26</v>
      </c>
      <c r="G20" s="29">
        <v>125000</v>
      </c>
      <c r="H20" s="30">
        <f t="shared" si="1"/>
        <v>3587.5</v>
      </c>
      <c r="I20" s="30">
        <f>G20*3.04%</f>
        <v>3800</v>
      </c>
      <c r="J20" s="30">
        <f t="shared" si="0"/>
        <v>117612.5</v>
      </c>
      <c r="K20" s="30">
        <v>17985.990000000002</v>
      </c>
      <c r="L20" s="30"/>
      <c r="M20" s="30">
        <v>0</v>
      </c>
      <c r="N20" s="30">
        <v>0</v>
      </c>
      <c r="O20" s="30">
        <v>25</v>
      </c>
      <c r="P20" s="30">
        <f>H20+I20+K20+O20+M20+N20</f>
        <v>25398.49</v>
      </c>
      <c r="Q20" s="30">
        <f t="shared" si="4"/>
        <v>99601.51</v>
      </c>
    </row>
    <row r="21" spans="1:17" ht="49.15" customHeight="1" thickBot="1" x14ac:dyDescent="0.5">
      <c r="A21" s="33"/>
      <c r="B21" s="148" t="s">
        <v>38</v>
      </c>
      <c r="C21" s="149"/>
      <c r="D21" s="149"/>
      <c r="E21" s="150"/>
      <c r="F21" s="36"/>
      <c r="G21" s="37">
        <f>SUM(G14:G20)</f>
        <v>1375000</v>
      </c>
      <c r="H21" s="37">
        <f t="shared" ref="H21:Q21" si="6">SUM(H14:H20)</f>
        <v>36220.834999999999</v>
      </c>
      <c r="I21" s="37">
        <f t="shared" si="6"/>
        <v>30569.48</v>
      </c>
      <c r="J21" s="37">
        <f t="shared" si="6"/>
        <v>1308209.6850000001</v>
      </c>
      <c r="K21" s="37">
        <f t="shared" si="6"/>
        <v>246703.75999999998</v>
      </c>
      <c r="L21" s="37">
        <f t="shared" si="6"/>
        <v>0</v>
      </c>
      <c r="M21" s="37">
        <f t="shared" si="6"/>
        <v>1715.46</v>
      </c>
      <c r="N21" s="37">
        <f t="shared" si="6"/>
        <v>33357.81</v>
      </c>
      <c r="O21" s="37">
        <f t="shared" si="6"/>
        <v>175</v>
      </c>
      <c r="P21" s="37">
        <f t="shared" si="6"/>
        <v>348742.34499999997</v>
      </c>
      <c r="Q21" s="37">
        <f t="shared" si="6"/>
        <v>1026257.6549999998</v>
      </c>
    </row>
    <row r="22" spans="1:17" ht="37.15" customHeight="1" thickBot="1" x14ac:dyDescent="0.5">
      <c r="A22" s="38"/>
      <c r="B22" s="39"/>
      <c r="C22" s="40"/>
      <c r="D22" s="40"/>
      <c r="E22" s="40"/>
      <c r="F22" s="40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3"/>
    </row>
    <row r="23" spans="1:17" ht="48.6" customHeight="1" thickBot="1" x14ac:dyDescent="0.45">
      <c r="A23" s="44"/>
      <c r="B23" s="45"/>
      <c r="C23" s="46" t="s">
        <v>39</v>
      </c>
      <c r="D23" s="47"/>
      <c r="E23" s="47"/>
      <c r="F23" s="47"/>
      <c r="G23" s="48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1:17" ht="37.5" customHeight="1" thickBot="1" x14ac:dyDescent="0.45">
      <c r="A24" s="25">
        <v>8</v>
      </c>
      <c r="B24" s="26" t="s">
        <v>22</v>
      </c>
      <c r="C24" s="27" t="s">
        <v>29</v>
      </c>
      <c r="D24" s="28" t="s">
        <v>40</v>
      </c>
      <c r="E24" s="28" t="s">
        <v>41</v>
      </c>
      <c r="F24" s="28" t="s">
        <v>26</v>
      </c>
      <c r="G24" s="29">
        <v>45000</v>
      </c>
      <c r="H24" s="30">
        <f t="shared" ref="H24:H48" si="7">+G24*2.87%</f>
        <v>1291.5</v>
      </c>
      <c r="I24" s="30">
        <f t="shared" ref="I24:I48" si="8">+G24*3.04%</f>
        <v>1368</v>
      </c>
      <c r="J24" s="30">
        <f t="shared" ref="J24:J48" si="9">G24-H24-I24</f>
        <v>42340.5</v>
      </c>
      <c r="K24" s="30">
        <v>0</v>
      </c>
      <c r="L24" s="30">
        <v>6621.75</v>
      </c>
      <c r="M24" s="30"/>
      <c r="N24" s="30"/>
      <c r="O24" s="30">
        <f>25</f>
        <v>25</v>
      </c>
      <c r="P24" s="30">
        <f t="shared" ref="P24:P48" si="10">H24+I24+K24+O24</f>
        <v>2684.5</v>
      </c>
      <c r="Q24" s="30">
        <f t="shared" ref="Q24:Q48" si="11">G24-P24</f>
        <v>42315.5</v>
      </c>
    </row>
    <row r="25" spans="1:17" ht="37.5" customHeight="1" thickBot="1" x14ac:dyDescent="0.5">
      <c r="A25" s="25">
        <v>9</v>
      </c>
      <c r="B25" s="26" t="s">
        <v>42</v>
      </c>
      <c r="C25" s="27" t="s">
        <v>23</v>
      </c>
      <c r="D25" s="28" t="s">
        <v>43</v>
      </c>
      <c r="E25" s="28" t="s">
        <v>44</v>
      </c>
      <c r="F25" s="28" t="s">
        <v>26</v>
      </c>
      <c r="G25" s="29">
        <v>30000</v>
      </c>
      <c r="H25" s="30">
        <f t="shared" si="7"/>
        <v>861</v>
      </c>
      <c r="I25" s="30">
        <f t="shared" si="8"/>
        <v>912</v>
      </c>
      <c r="J25" s="30">
        <f t="shared" si="9"/>
        <v>28227</v>
      </c>
      <c r="K25" s="30">
        <v>0</v>
      </c>
      <c r="L25" s="30"/>
      <c r="M25" s="30"/>
      <c r="N25" s="30"/>
      <c r="O25" s="30">
        <v>25</v>
      </c>
      <c r="P25" s="30">
        <f t="shared" si="10"/>
        <v>1798</v>
      </c>
      <c r="Q25" s="30">
        <f t="shared" si="11"/>
        <v>28202</v>
      </c>
    </row>
    <row r="26" spans="1:17" ht="37.5" customHeight="1" thickBot="1" x14ac:dyDescent="0.45">
      <c r="A26" s="25">
        <v>10</v>
      </c>
      <c r="B26" s="26" t="s">
        <v>42</v>
      </c>
      <c r="C26" s="27" t="s">
        <v>23</v>
      </c>
      <c r="D26" s="28" t="s">
        <v>45</v>
      </c>
      <c r="E26" s="28" t="s">
        <v>46</v>
      </c>
      <c r="F26" s="28" t="s">
        <v>26</v>
      </c>
      <c r="G26" s="29">
        <v>45000</v>
      </c>
      <c r="H26" s="30">
        <f t="shared" si="7"/>
        <v>1291.5</v>
      </c>
      <c r="I26" s="30">
        <f t="shared" si="8"/>
        <v>1368</v>
      </c>
      <c r="J26" s="30">
        <f t="shared" si="9"/>
        <v>42340.5</v>
      </c>
      <c r="K26" s="30">
        <v>1148.33</v>
      </c>
      <c r="L26" s="30"/>
      <c r="M26" s="30"/>
      <c r="N26" s="30"/>
      <c r="O26" s="30">
        <v>25</v>
      </c>
      <c r="P26" s="30">
        <f t="shared" si="10"/>
        <v>3832.83</v>
      </c>
      <c r="Q26" s="30">
        <f t="shared" si="11"/>
        <v>41167.17</v>
      </c>
    </row>
    <row r="27" spans="1:17" ht="37.5" customHeight="1" thickBot="1" x14ac:dyDescent="0.5">
      <c r="A27" s="25">
        <v>11</v>
      </c>
      <c r="B27" s="26">
        <v>43901</v>
      </c>
      <c r="C27" s="27" t="s">
        <v>29</v>
      </c>
      <c r="D27" s="50" t="s">
        <v>47</v>
      </c>
      <c r="E27" s="28" t="s">
        <v>48</v>
      </c>
      <c r="F27" s="28" t="s">
        <v>26</v>
      </c>
      <c r="G27" s="29">
        <v>45000</v>
      </c>
      <c r="H27" s="30">
        <f t="shared" si="7"/>
        <v>1291.5</v>
      </c>
      <c r="I27" s="29">
        <f t="shared" si="8"/>
        <v>1368</v>
      </c>
      <c r="J27" s="29">
        <f t="shared" si="9"/>
        <v>42340.5</v>
      </c>
      <c r="K27" s="51">
        <v>0</v>
      </c>
      <c r="L27" s="51">
        <v>6621.75</v>
      </c>
      <c r="M27" s="51"/>
      <c r="N27" s="51"/>
      <c r="O27" s="30">
        <f>25</f>
        <v>25</v>
      </c>
      <c r="P27" s="30">
        <f t="shared" si="10"/>
        <v>2684.5</v>
      </c>
      <c r="Q27" s="30">
        <f t="shared" si="11"/>
        <v>42315.5</v>
      </c>
    </row>
    <row r="28" spans="1:17" ht="37.5" customHeight="1" thickBot="1" x14ac:dyDescent="0.5">
      <c r="A28" s="25">
        <v>12</v>
      </c>
      <c r="B28" s="26">
        <v>43901</v>
      </c>
      <c r="C28" s="27" t="s">
        <v>23</v>
      </c>
      <c r="D28" s="50" t="s">
        <v>49</v>
      </c>
      <c r="E28" s="28" t="s">
        <v>50</v>
      </c>
      <c r="F28" s="28" t="s">
        <v>26</v>
      </c>
      <c r="G28" s="29">
        <v>60000</v>
      </c>
      <c r="H28" s="30">
        <f t="shared" si="7"/>
        <v>1722</v>
      </c>
      <c r="I28" s="29">
        <f t="shared" si="8"/>
        <v>1824</v>
      </c>
      <c r="J28" s="29">
        <f t="shared" si="9"/>
        <v>56454</v>
      </c>
      <c r="K28" s="51">
        <v>3486.65</v>
      </c>
      <c r="L28" s="51"/>
      <c r="M28" s="51"/>
      <c r="N28" s="51"/>
      <c r="O28" s="30">
        <f>25</f>
        <v>25</v>
      </c>
      <c r="P28" s="30">
        <f t="shared" si="10"/>
        <v>7057.65</v>
      </c>
      <c r="Q28" s="30">
        <f t="shared" si="11"/>
        <v>52942.35</v>
      </c>
    </row>
    <row r="29" spans="1:17" ht="37.5" customHeight="1" thickBot="1" x14ac:dyDescent="0.45">
      <c r="A29" s="25">
        <v>13</v>
      </c>
      <c r="B29" s="26" t="s">
        <v>51</v>
      </c>
      <c r="C29" s="27" t="s">
        <v>23</v>
      </c>
      <c r="D29" s="50" t="s">
        <v>52</v>
      </c>
      <c r="E29" s="50" t="s">
        <v>53</v>
      </c>
      <c r="F29" s="50" t="s">
        <v>26</v>
      </c>
      <c r="G29" s="29">
        <v>30000</v>
      </c>
      <c r="H29" s="30">
        <f t="shared" si="7"/>
        <v>861</v>
      </c>
      <c r="I29" s="29">
        <f t="shared" si="8"/>
        <v>912</v>
      </c>
      <c r="J29" s="29">
        <f t="shared" si="9"/>
        <v>28227</v>
      </c>
      <c r="K29" s="51">
        <v>0</v>
      </c>
      <c r="L29" s="51"/>
      <c r="M29" s="51"/>
      <c r="N29" s="51"/>
      <c r="O29" s="30">
        <v>25</v>
      </c>
      <c r="P29" s="30">
        <f t="shared" si="10"/>
        <v>1798</v>
      </c>
      <c r="Q29" s="30">
        <f t="shared" si="11"/>
        <v>28202</v>
      </c>
    </row>
    <row r="30" spans="1:17" ht="37.5" customHeight="1" thickBot="1" x14ac:dyDescent="0.5">
      <c r="A30" s="25">
        <v>14</v>
      </c>
      <c r="B30" s="32">
        <v>44204</v>
      </c>
      <c r="C30" s="27" t="s">
        <v>23</v>
      </c>
      <c r="D30" s="50" t="s">
        <v>54</v>
      </c>
      <c r="E30" s="50" t="s">
        <v>53</v>
      </c>
      <c r="F30" s="50" t="s">
        <v>26</v>
      </c>
      <c r="G30" s="29">
        <v>30000</v>
      </c>
      <c r="H30" s="30">
        <f t="shared" si="7"/>
        <v>861</v>
      </c>
      <c r="I30" s="29">
        <f t="shared" si="8"/>
        <v>912</v>
      </c>
      <c r="J30" s="29">
        <f t="shared" si="9"/>
        <v>28227</v>
      </c>
      <c r="K30" s="51">
        <v>0</v>
      </c>
      <c r="L30" s="51"/>
      <c r="M30" s="30"/>
      <c r="N30" s="30"/>
      <c r="O30" s="30">
        <v>25</v>
      </c>
      <c r="P30" s="30">
        <f t="shared" si="10"/>
        <v>1798</v>
      </c>
      <c r="Q30" s="30">
        <f t="shared" si="11"/>
        <v>28202</v>
      </c>
    </row>
    <row r="31" spans="1:17" ht="37.5" customHeight="1" thickBot="1" x14ac:dyDescent="0.5">
      <c r="A31" s="25">
        <v>15</v>
      </c>
      <c r="B31" s="32">
        <v>44205</v>
      </c>
      <c r="C31" s="27" t="s">
        <v>23</v>
      </c>
      <c r="D31" s="50" t="s">
        <v>55</v>
      </c>
      <c r="E31" s="50" t="s">
        <v>56</v>
      </c>
      <c r="F31" s="50" t="s">
        <v>26</v>
      </c>
      <c r="G31" s="29">
        <v>45000</v>
      </c>
      <c r="H31" s="30">
        <f t="shared" si="7"/>
        <v>1291.5</v>
      </c>
      <c r="I31" s="29">
        <f t="shared" si="8"/>
        <v>1368</v>
      </c>
      <c r="J31" s="29">
        <f t="shared" si="9"/>
        <v>42340.5</v>
      </c>
      <c r="K31" s="51">
        <v>1148.83</v>
      </c>
      <c r="L31" s="51"/>
      <c r="M31" s="30"/>
      <c r="N31" s="30"/>
      <c r="O31" s="30">
        <v>25</v>
      </c>
      <c r="P31" s="30">
        <f t="shared" si="10"/>
        <v>3833.33</v>
      </c>
      <c r="Q31" s="30">
        <f t="shared" si="11"/>
        <v>41166.67</v>
      </c>
    </row>
    <row r="32" spans="1:17" ht="37.5" customHeight="1" thickBot="1" x14ac:dyDescent="0.5">
      <c r="A32" s="25">
        <v>16</v>
      </c>
      <c r="B32" s="32">
        <v>44205</v>
      </c>
      <c r="C32" s="27" t="s">
        <v>29</v>
      </c>
      <c r="D32" s="50" t="s">
        <v>57</v>
      </c>
      <c r="E32" s="50" t="s">
        <v>58</v>
      </c>
      <c r="F32" s="50" t="s">
        <v>26</v>
      </c>
      <c r="G32" s="29">
        <v>30000</v>
      </c>
      <c r="H32" s="30">
        <f t="shared" si="7"/>
        <v>861</v>
      </c>
      <c r="I32" s="29">
        <f t="shared" si="8"/>
        <v>912</v>
      </c>
      <c r="J32" s="29">
        <f t="shared" si="9"/>
        <v>28227</v>
      </c>
      <c r="K32" s="51">
        <v>0</v>
      </c>
      <c r="L32" s="51"/>
      <c r="M32" s="30"/>
      <c r="N32" s="30"/>
      <c r="O32" s="30">
        <v>25</v>
      </c>
      <c r="P32" s="30">
        <f t="shared" si="10"/>
        <v>1798</v>
      </c>
      <c r="Q32" s="30">
        <f t="shared" si="11"/>
        <v>28202</v>
      </c>
    </row>
    <row r="33" spans="1:17" ht="37.5" customHeight="1" thickBot="1" x14ac:dyDescent="0.5">
      <c r="A33" s="25">
        <v>17</v>
      </c>
      <c r="B33" s="32" t="s">
        <v>59</v>
      </c>
      <c r="C33" s="27" t="s">
        <v>23</v>
      </c>
      <c r="D33" s="50" t="s">
        <v>60</v>
      </c>
      <c r="E33" s="50" t="s">
        <v>61</v>
      </c>
      <c r="F33" s="50" t="s">
        <v>26</v>
      </c>
      <c r="G33" s="29">
        <v>30000</v>
      </c>
      <c r="H33" s="30">
        <f t="shared" si="7"/>
        <v>861</v>
      </c>
      <c r="I33" s="29">
        <f t="shared" si="8"/>
        <v>912</v>
      </c>
      <c r="J33" s="29">
        <f t="shared" si="9"/>
        <v>28227</v>
      </c>
      <c r="K33" s="51">
        <v>0</v>
      </c>
      <c r="L33" s="51"/>
      <c r="M33" s="30"/>
      <c r="N33" s="30"/>
      <c r="O33" s="30">
        <v>25</v>
      </c>
      <c r="P33" s="30">
        <f t="shared" si="10"/>
        <v>1798</v>
      </c>
      <c r="Q33" s="30">
        <f t="shared" si="11"/>
        <v>28202</v>
      </c>
    </row>
    <row r="34" spans="1:17" ht="37.5" customHeight="1" thickBot="1" x14ac:dyDescent="0.5">
      <c r="A34" s="25">
        <v>18</v>
      </c>
      <c r="B34" s="32">
        <v>44206</v>
      </c>
      <c r="C34" s="27" t="s">
        <v>23</v>
      </c>
      <c r="D34" s="50" t="s">
        <v>62</v>
      </c>
      <c r="E34" s="50" t="s">
        <v>63</v>
      </c>
      <c r="F34" s="50" t="s">
        <v>26</v>
      </c>
      <c r="G34" s="29">
        <v>25000</v>
      </c>
      <c r="H34" s="30">
        <f t="shared" si="7"/>
        <v>717.5</v>
      </c>
      <c r="I34" s="29">
        <f t="shared" si="8"/>
        <v>760</v>
      </c>
      <c r="J34" s="29">
        <f t="shared" si="9"/>
        <v>23522.5</v>
      </c>
      <c r="K34" s="51">
        <v>0</v>
      </c>
      <c r="L34" s="51"/>
      <c r="M34" s="30"/>
      <c r="N34" s="30"/>
      <c r="O34" s="30">
        <v>25</v>
      </c>
      <c r="P34" s="30">
        <f t="shared" si="10"/>
        <v>1502.5</v>
      </c>
      <c r="Q34" s="30">
        <f t="shared" si="11"/>
        <v>23497.5</v>
      </c>
    </row>
    <row r="35" spans="1:17" ht="37.5" customHeight="1" thickBot="1" x14ac:dyDescent="0.5">
      <c r="A35" s="25">
        <v>19</v>
      </c>
      <c r="B35" s="32">
        <v>44206</v>
      </c>
      <c r="C35" s="27" t="s">
        <v>23</v>
      </c>
      <c r="D35" s="50" t="s">
        <v>64</v>
      </c>
      <c r="E35" s="50" t="s">
        <v>63</v>
      </c>
      <c r="F35" s="50" t="s">
        <v>26</v>
      </c>
      <c r="G35" s="29">
        <v>30000</v>
      </c>
      <c r="H35" s="30">
        <f t="shared" si="7"/>
        <v>861</v>
      </c>
      <c r="I35" s="29">
        <f t="shared" si="8"/>
        <v>912</v>
      </c>
      <c r="J35" s="29">
        <f t="shared" si="9"/>
        <v>28227</v>
      </c>
      <c r="K35" s="51">
        <v>0</v>
      </c>
      <c r="L35" s="51"/>
      <c r="M35" s="30"/>
      <c r="N35" s="30"/>
      <c r="O35" s="30">
        <v>25</v>
      </c>
      <c r="P35" s="30">
        <f t="shared" si="10"/>
        <v>1798</v>
      </c>
      <c r="Q35" s="30">
        <f t="shared" si="11"/>
        <v>28202</v>
      </c>
    </row>
    <row r="36" spans="1:17" ht="37.5" customHeight="1" thickBot="1" x14ac:dyDescent="0.5">
      <c r="A36" s="25">
        <v>20</v>
      </c>
      <c r="B36" s="32">
        <v>44206</v>
      </c>
      <c r="C36" s="27" t="s">
        <v>23</v>
      </c>
      <c r="D36" s="50" t="s">
        <v>65</v>
      </c>
      <c r="E36" s="50" t="s">
        <v>66</v>
      </c>
      <c r="F36" s="50" t="s">
        <v>26</v>
      </c>
      <c r="G36" s="29">
        <v>30000</v>
      </c>
      <c r="H36" s="30">
        <f t="shared" si="7"/>
        <v>861</v>
      </c>
      <c r="I36" s="29">
        <f t="shared" si="8"/>
        <v>912</v>
      </c>
      <c r="J36" s="29">
        <f t="shared" si="9"/>
        <v>28227</v>
      </c>
      <c r="K36" s="51">
        <v>0</v>
      </c>
      <c r="L36" s="51"/>
      <c r="M36" s="30"/>
      <c r="N36" s="30"/>
      <c r="O36" s="30">
        <f>25</f>
        <v>25</v>
      </c>
      <c r="P36" s="30">
        <f t="shared" si="10"/>
        <v>1798</v>
      </c>
      <c r="Q36" s="30">
        <f t="shared" si="11"/>
        <v>28202</v>
      </c>
    </row>
    <row r="37" spans="1:17" ht="37.5" customHeight="1" thickBot="1" x14ac:dyDescent="0.5">
      <c r="A37" s="25">
        <v>21</v>
      </c>
      <c r="B37" s="32">
        <v>44206</v>
      </c>
      <c r="C37" s="27" t="s">
        <v>29</v>
      </c>
      <c r="D37" s="50" t="s">
        <v>67</v>
      </c>
      <c r="E37" s="50" t="s">
        <v>58</v>
      </c>
      <c r="F37" s="50" t="s">
        <v>26</v>
      </c>
      <c r="G37" s="29">
        <v>30000</v>
      </c>
      <c r="H37" s="30">
        <f t="shared" si="7"/>
        <v>861</v>
      </c>
      <c r="I37" s="29">
        <f t="shared" si="8"/>
        <v>912</v>
      </c>
      <c r="J37" s="29">
        <f t="shared" si="9"/>
        <v>28227</v>
      </c>
      <c r="K37" s="51">
        <v>0</v>
      </c>
      <c r="L37" s="51"/>
      <c r="M37" s="30"/>
      <c r="N37" s="30"/>
      <c r="O37" s="30">
        <v>25</v>
      </c>
      <c r="P37" s="30">
        <f t="shared" si="10"/>
        <v>1798</v>
      </c>
      <c r="Q37" s="30">
        <f t="shared" si="11"/>
        <v>28202</v>
      </c>
    </row>
    <row r="38" spans="1:17" ht="37.5" customHeight="1" thickBot="1" x14ac:dyDescent="0.45">
      <c r="A38" s="25">
        <v>22</v>
      </c>
      <c r="B38" s="32">
        <v>44206</v>
      </c>
      <c r="C38" s="27" t="s">
        <v>23</v>
      </c>
      <c r="D38" s="50" t="s">
        <v>68</v>
      </c>
      <c r="E38" s="50" t="s">
        <v>69</v>
      </c>
      <c r="F38" s="50" t="s">
        <v>26</v>
      </c>
      <c r="G38" s="29">
        <v>30000</v>
      </c>
      <c r="H38" s="30">
        <f t="shared" si="7"/>
        <v>861</v>
      </c>
      <c r="I38" s="29">
        <f t="shared" si="8"/>
        <v>912</v>
      </c>
      <c r="J38" s="29">
        <f t="shared" si="9"/>
        <v>28227</v>
      </c>
      <c r="K38" s="51">
        <v>0</v>
      </c>
      <c r="L38" s="51"/>
      <c r="M38" s="30"/>
      <c r="N38" s="30"/>
      <c r="O38" s="30">
        <v>25</v>
      </c>
      <c r="P38" s="30">
        <f t="shared" si="10"/>
        <v>1798</v>
      </c>
      <c r="Q38" s="30">
        <f t="shared" si="11"/>
        <v>28202</v>
      </c>
    </row>
    <row r="39" spans="1:17" ht="37.5" customHeight="1" thickBot="1" x14ac:dyDescent="0.45">
      <c r="A39" s="25">
        <v>23</v>
      </c>
      <c r="B39" s="32">
        <v>44206</v>
      </c>
      <c r="C39" s="27" t="s">
        <v>29</v>
      </c>
      <c r="D39" s="50" t="s">
        <v>70</v>
      </c>
      <c r="E39" s="50" t="s">
        <v>58</v>
      </c>
      <c r="F39" s="50" t="s">
        <v>26</v>
      </c>
      <c r="G39" s="29">
        <v>30000</v>
      </c>
      <c r="H39" s="30">
        <f t="shared" si="7"/>
        <v>861</v>
      </c>
      <c r="I39" s="29">
        <f t="shared" si="8"/>
        <v>912</v>
      </c>
      <c r="J39" s="29">
        <f t="shared" si="9"/>
        <v>28227</v>
      </c>
      <c r="K39" s="51">
        <v>0</v>
      </c>
      <c r="L39" s="51"/>
      <c r="M39" s="30"/>
      <c r="N39" s="30"/>
      <c r="O39" s="30">
        <f>25</f>
        <v>25</v>
      </c>
      <c r="P39" s="30">
        <f t="shared" si="10"/>
        <v>1798</v>
      </c>
      <c r="Q39" s="30">
        <f t="shared" si="11"/>
        <v>28202</v>
      </c>
    </row>
    <row r="40" spans="1:17" ht="37.5" customHeight="1" thickBot="1" x14ac:dyDescent="0.5">
      <c r="A40" s="25">
        <v>24</v>
      </c>
      <c r="B40" s="32">
        <v>44206</v>
      </c>
      <c r="C40" s="27" t="s">
        <v>29</v>
      </c>
      <c r="D40" s="50" t="s">
        <v>71</v>
      </c>
      <c r="E40" s="50" t="s">
        <v>58</v>
      </c>
      <c r="F40" s="50" t="s">
        <v>26</v>
      </c>
      <c r="G40" s="29">
        <v>30000</v>
      </c>
      <c r="H40" s="30">
        <f t="shared" si="7"/>
        <v>861</v>
      </c>
      <c r="I40" s="29">
        <f t="shared" si="8"/>
        <v>912</v>
      </c>
      <c r="J40" s="29">
        <f t="shared" si="9"/>
        <v>28227</v>
      </c>
      <c r="K40" s="51">
        <v>0</v>
      </c>
      <c r="L40" s="51"/>
      <c r="M40" s="30"/>
      <c r="N40" s="30"/>
      <c r="O40" s="30">
        <v>25</v>
      </c>
      <c r="P40" s="30">
        <f t="shared" si="10"/>
        <v>1798</v>
      </c>
      <c r="Q40" s="30">
        <f t="shared" si="11"/>
        <v>28202</v>
      </c>
    </row>
    <row r="41" spans="1:17" ht="37.5" customHeight="1" thickBot="1" x14ac:dyDescent="0.5">
      <c r="A41" s="25">
        <v>25</v>
      </c>
      <c r="B41" s="32" t="s">
        <v>72</v>
      </c>
      <c r="C41" s="27" t="s">
        <v>23</v>
      </c>
      <c r="D41" s="50" t="s">
        <v>73</v>
      </c>
      <c r="E41" s="50" t="s">
        <v>61</v>
      </c>
      <c r="F41" s="50" t="s">
        <v>26</v>
      </c>
      <c r="G41" s="29">
        <v>30000</v>
      </c>
      <c r="H41" s="30">
        <f t="shared" si="7"/>
        <v>861</v>
      </c>
      <c r="I41" s="29">
        <f t="shared" si="8"/>
        <v>912</v>
      </c>
      <c r="J41" s="29">
        <f t="shared" si="9"/>
        <v>28227</v>
      </c>
      <c r="K41" s="51">
        <v>0</v>
      </c>
      <c r="L41" s="51"/>
      <c r="M41" s="30"/>
      <c r="N41" s="30"/>
      <c r="O41" s="30">
        <v>25</v>
      </c>
      <c r="P41" s="30">
        <f t="shared" si="10"/>
        <v>1798</v>
      </c>
      <c r="Q41" s="30">
        <f t="shared" si="11"/>
        <v>28202</v>
      </c>
    </row>
    <row r="42" spans="1:17" ht="37.5" customHeight="1" thickBot="1" x14ac:dyDescent="0.5">
      <c r="A42" s="25">
        <v>26</v>
      </c>
      <c r="B42" s="32" t="s">
        <v>72</v>
      </c>
      <c r="C42" s="27" t="s">
        <v>23</v>
      </c>
      <c r="D42" s="50" t="s">
        <v>74</v>
      </c>
      <c r="E42" s="50" t="s">
        <v>61</v>
      </c>
      <c r="F42" s="50" t="s">
        <v>26</v>
      </c>
      <c r="G42" s="29">
        <v>30000</v>
      </c>
      <c r="H42" s="30">
        <f t="shared" si="7"/>
        <v>861</v>
      </c>
      <c r="I42" s="29">
        <f t="shared" si="8"/>
        <v>912</v>
      </c>
      <c r="J42" s="29">
        <f t="shared" si="9"/>
        <v>28227</v>
      </c>
      <c r="K42" s="51">
        <v>0</v>
      </c>
      <c r="L42" s="51"/>
      <c r="M42" s="30"/>
      <c r="N42" s="30"/>
      <c r="O42" s="30">
        <f>25</f>
        <v>25</v>
      </c>
      <c r="P42" s="30">
        <f t="shared" si="10"/>
        <v>1798</v>
      </c>
      <c r="Q42" s="30">
        <f t="shared" si="11"/>
        <v>28202</v>
      </c>
    </row>
    <row r="43" spans="1:17" ht="37.5" customHeight="1" thickBot="1" x14ac:dyDescent="0.5">
      <c r="A43" s="25">
        <v>27</v>
      </c>
      <c r="B43" s="32">
        <v>44872</v>
      </c>
      <c r="C43" s="27" t="s">
        <v>23</v>
      </c>
      <c r="D43" s="50" t="s">
        <v>75</v>
      </c>
      <c r="E43" s="50" t="s">
        <v>58</v>
      </c>
      <c r="F43" s="50" t="s">
        <v>26</v>
      </c>
      <c r="G43" s="29">
        <v>30000</v>
      </c>
      <c r="H43" s="30">
        <f t="shared" si="7"/>
        <v>861</v>
      </c>
      <c r="I43" s="29">
        <f t="shared" si="8"/>
        <v>912</v>
      </c>
      <c r="J43" s="29">
        <f t="shared" si="9"/>
        <v>28227</v>
      </c>
      <c r="K43" s="51">
        <v>0</v>
      </c>
      <c r="L43" s="51"/>
      <c r="M43" s="30"/>
      <c r="N43" s="30"/>
      <c r="O43" s="30">
        <v>25</v>
      </c>
      <c r="P43" s="30">
        <f t="shared" si="10"/>
        <v>1798</v>
      </c>
      <c r="Q43" s="30">
        <f t="shared" si="11"/>
        <v>28202</v>
      </c>
    </row>
    <row r="44" spans="1:17" ht="37.5" customHeight="1" thickBot="1" x14ac:dyDescent="0.5">
      <c r="A44" s="25">
        <v>28</v>
      </c>
      <c r="B44" s="32">
        <v>44565</v>
      </c>
      <c r="C44" s="27" t="s">
        <v>23</v>
      </c>
      <c r="D44" s="50" t="s">
        <v>76</v>
      </c>
      <c r="E44" s="50" t="s">
        <v>61</v>
      </c>
      <c r="F44" s="50" t="s">
        <v>26</v>
      </c>
      <c r="G44" s="29">
        <v>30000</v>
      </c>
      <c r="H44" s="30">
        <f t="shared" si="7"/>
        <v>861</v>
      </c>
      <c r="I44" s="29">
        <f t="shared" si="8"/>
        <v>912</v>
      </c>
      <c r="J44" s="29">
        <f t="shared" si="9"/>
        <v>28227</v>
      </c>
      <c r="K44" s="51">
        <v>0</v>
      </c>
      <c r="L44" s="51"/>
      <c r="M44" s="30"/>
      <c r="N44" s="30"/>
      <c r="O44" s="30">
        <v>25</v>
      </c>
      <c r="P44" s="30">
        <f t="shared" si="10"/>
        <v>1798</v>
      </c>
      <c r="Q44" s="30">
        <f t="shared" si="11"/>
        <v>28202</v>
      </c>
    </row>
    <row r="45" spans="1:17" ht="37.5" customHeight="1" thickBot="1" x14ac:dyDescent="0.5">
      <c r="A45" s="25">
        <v>29</v>
      </c>
      <c r="B45" s="32">
        <v>44931</v>
      </c>
      <c r="C45" s="27" t="s">
        <v>23</v>
      </c>
      <c r="D45" s="50" t="s">
        <v>77</v>
      </c>
      <c r="E45" s="50" t="s">
        <v>61</v>
      </c>
      <c r="F45" s="50" t="s">
        <v>26</v>
      </c>
      <c r="G45" s="29">
        <v>30000</v>
      </c>
      <c r="H45" s="30">
        <f t="shared" si="7"/>
        <v>861</v>
      </c>
      <c r="I45" s="29">
        <f t="shared" si="8"/>
        <v>912</v>
      </c>
      <c r="J45" s="29">
        <f t="shared" si="9"/>
        <v>28227</v>
      </c>
      <c r="K45" s="51">
        <v>0</v>
      </c>
      <c r="L45" s="51"/>
      <c r="M45" s="30"/>
      <c r="N45" s="30"/>
      <c r="O45" s="30">
        <v>25</v>
      </c>
      <c r="P45" s="30">
        <f t="shared" si="10"/>
        <v>1798</v>
      </c>
      <c r="Q45" s="30">
        <f t="shared" si="11"/>
        <v>28202</v>
      </c>
    </row>
    <row r="46" spans="1:17" ht="37.5" customHeight="1" thickBot="1" x14ac:dyDescent="0.5">
      <c r="A46" s="25">
        <v>30</v>
      </c>
      <c r="B46" s="32">
        <v>44931</v>
      </c>
      <c r="C46" s="27" t="s">
        <v>29</v>
      </c>
      <c r="D46" s="50" t="s">
        <v>78</v>
      </c>
      <c r="E46" s="50" t="s">
        <v>58</v>
      </c>
      <c r="F46" s="50" t="s">
        <v>26</v>
      </c>
      <c r="G46" s="29">
        <v>30000</v>
      </c>
      <c r="H46" s="30">
        <f t="shared" si="7"/>
        <v>861</v>
      </c>
      <c r="I46" s="29">
        <f t="shared" si="8"/>
        <v>912</v>
      </c>
      <c r="J46" s="29">
        <f t="shared" si="9"/>
        <v>28227</v>
      </c>
      <c r="K46" s="51">
        <v>0</v>
      </c>
      <c r="L46" s="51"/>
      <c r="M46" s="30"/>
      <c r="N46" s="30"/>
      <c r="O46" s="30">
        <f>25</f>
        <v>25</v>
      </c>
      <c r="P46" s="30">
        <f t="shared" si="10"/>
        <v>1798</v>
      </c>
      <c r="Q46" s="30">
        <f t="shared" si="11"/>
        <v>28202</v>
      </c>
    </row>
    <row r="47" spans="1:17" ht="37.5" customHeight="1" thickBot="1" x14ac:dyDescent="0.5">
      <c r="A47" s="25">
        <v>31</v>
      </c>
      <c r="B47" s="32">
        <v>44937</v>
      </c>
      <c r="C47" s="27" t="s">
        <v>29</v>
      </c>
      <c r="D47" s="50" t="s">
        <v>79</v>
      </c>
      <c r="E47" s="50" t="s">
        <v>80</v>
      </c>
      <c r="F47" s="50" t="s">
        <v>26</v>
      </c>
      <c r="G47" s="29">
        <v>45000</v>
      </c>
      <c r="H47" s="30">
        <f t="shared" si="7"/>
        <v>1291.5</v>
      </c>
      <c r="I47" s="29">
        <f t="shared" si="8"/>
        <v>1368</v>
      </c>
      <c r="J47" s="29">
        <f t="shared" si="9"/>
        <v>42340.5</v>
      </c>
      <c r="K47" s="51">
        <v>0</v>
      </c>
      <c r="L47" s="51">
        <v>3421.66</v>
      </c>
      <c r="M47" s="30"/>
      <c r="N47" s="30"/>
      <c r="O47" s="30">
        <v>25</v>
      </c>
      <c r="P47" s="30">
        <f t="shared" si="10"/>
        <v>2684.5</v>
      </c>
      <c r="Q47" s="30">
        <f t="shared" si="11"/>
        <v>42315.5</v>
      </c>
    </row>
    <row r="48" spans="1:17" ht="37.5" customHeight="1" thickBot="1" x14ac:dyDescent="0.5">
      <c r="A48" s="25">
        <v>32</v>
      </c>
      <c r="B48" s="32">
        <v>44938</v>
      </c>
      <c r="C48" s="27" t="s">
        <v>23</v>
      </c>
      <c r="D48" s="50" t="s">
        <v>81</v>
      </c>
      <c r="E48" s="50" t="s">
        <v>82</v>
      </c>
      <c r="F48" s="50" t="s">
        <v>26</v>
      </c>
      <c r="G48" s="29">
        <v>45000</v>
      </c>
      <c r="H48" s="30">
        <f t="shared" si="7"/>
        <v>1291.5</v>
      </c>
      <c r="I48" s="29">
        <f t="shared" si="8"/>
        <v>1368</v>
      </c>
      <c r="J48" s="29">
        <f t="shared" si="9"/>
        <v>42340.5</v>
      </c>
      <c r="K48" s="51">
        <v>1148.33</v>
      </c>
      <c r="L48" s="51"/>
      <c r="M48" s="30"/>
      <c r="N48" s="30"/>
      <c r="O48" s="30">
        <v>25</v>
      </c>
      <c r="P48" s="30">
        <f t="shared" si="10"/>
        <v>3832.83</v>
      </c>
      <c r="Q48" s="30">
        <f t="shared" si="11"/>
        <v>41167.17</v>
      </c>
    </row>
    <row r="49" spans="1:17" ht="49.15" customHeight="1" thickBot="1" x14ac:dyDescent="0.5">
      <c r="A49" s="52"/>
      <c r="B49" s="148" t="s">
        <v>38</v>
      </c>
      <c r="C49" s="149" t="s">
        <v>83</v>
      </c>
      <c r="D49" s="149"/>
      <c r="E49" s="150"/>
      <c r="F49" s="53"/>
      <c r="G49" s="54">
        <f t="shared" ref="G49:Q49" si="12">SUM(G24:G48)</f>
        <v>865000</v>
      </c>
      <c r="H49" s="54">
        <f t="shared" si="12"/>
        <v>24825.5</v>
      </c>
      <c r="I49" s="54">
        <f t="shared" si="12"/>
        <v>26296</v>
      </c>
      <c r="J49" s="54">
        <f t="shared" si="12"/>
        <v>813878.5</v>
      </c>
      <c r="K49" s="54">
        <f t="shared" si="12"/>
        <v>6932.1399999999994</v>
      </c>
      <c r="L49" s="54">
        <f t="shared" si="12"/>
        <v>16665.16</v>
      </c>
      <c r="M49" s="54">
        <f t="shared" si="12"/>
        <v>0</v>
      </c>
      <c r="N49" s="54">
        <f t="shared" si="12"/>
        <v>0</v>
      </c>
      <c r="O49" s="54">
        <f t="shared" si="12"/>
        <v>625</v>
      </c>
      <c r="P49" s="54">
        <f t="shared" si="12"/>
        <v>58678.64</v>
      </c>
      <c r="Q49" s="54">
        <f t="shared" si="12"/>
        <v>806321.36</v>
      </c>
    </row>
    <row r="50" spans="1:17" ht="37.5" customHeight="1" x14ac:dyDescent="0.25">
      <c r="A50" s="151"/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1"/>
    </row>
    <row r="51" spans="1:17" ht="37.5" customHeight="1" thickBot="1" x14ac:dyDescent="0.3">
      <c r="A51" s="152"/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2"/>
    </row>
    <row r="52" spans="1:17" ht="49.9" customHeight="1" thickBot="1" x14ac:dyDescent="0.5">
      <c r="A52" s="52"/>
      <c r="B52" s="148" t="s">
        <v>84</v>
      </c>
      <c r="C52" s="149"/>
      <c r="D52" s="149"/>
      <c r="E52" s="150"/>
      <c r="F52" s="55"/>
      <c r="G52" s="54">
        <f>G49+G21</f>
        <v>2240000</v>
      </c>
      <c r="H52" s="54">
        <f>H49+H21</f>
        <v>61046.334999999999</v>
      </c>
      <c r="I52" s="54">
        <f>I49+I21</f>
        <v>56865.479999999996</v>
      </c>
      <c r="J52" s="54">
        <f>J49+J21</f>
        <v>2122088.1850000001</v>
      </c>
      <c r="K52" s="54">
        <f>K49+K21</f>
        <v>253635.89999999997</v>
      </c>
      <c r="L52" s="54"/>
      <c r="M52" s="54">
        <f>M49+M21</f>
        <v>1715.46</v>
      </c>
      <c r="N52" s="54">
        <f>N49+N21</f>
        <v>33357.81</v>
      </c>
      <c r="O52" s="54">
        <f>O49+O21</f>
        <v>800</v>
      </c>
      <c r="P52" s="54">
        <f>P49+P21</f>
        <v>407420.98499999999</v>
      </c>
      <c r="Q52" s="56">
        <f>Q49+Q21</f>
        <v>1832579.0149999997</v>
      </c>
    </row>
    <row r="53" spans="1:17" ht="37.5" customHeight="1" x14ac:dyDescent="0.4">
      <c r="C53" s="3"/>
      <c r="D53" s="57"/>
      <c r="E53" s="3"/>
      <c r="F53" s="3"/>
      <c r="G53" s="3"/>
      <c r="H53" s="3"/>
      <c r="I53" s="3"/>
      <c r="J53" s="3"/>
      <c r="K53" s="3"/>
      <c r="L53" s="3"/>
      <c r="M53" s="3"/>
      <c r="N53" s="3"/>
      <c r="O53" s="58"/>
      <c r="P53" s="3"/>
      <c r="Q53" s="138"/>
    </row>
    <row r="54" spans="1:17" ht="37.5" customHeight="1" x14ac:dyDescent="0.4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ht="37.5" customHeight="1" x14ac:dyDescent="0.5">
      <c r="C55" s="3"/>
      <c r="D55" s="3"/>
      <c r="E55" s="3"/>
      <c r="F55" s="3"/>
      <c r="G55" s="9"/>
      <c r="H55" s="10"/>
      <c r="I55" s="3"/>
      <c r="J55" s="3"/>
      <c r="K55" s="59"/>
      <c r="L55" s="59"/>
      <c r="M55" s="59"/>
      <c r="N55" s="59"/>
      <c r="O55" s="60"/>
      <c r="P55" s="3"/>
      <c r="Q55" s="61"/>
    </row>
    <row r="56" spans="1:17" ht="48" customHeight="1" x14ac:dyDescent="0.3">
      <c r="C56" s="3"/>
      <c r="D56" s="3"/>
      <c r="E56" s="62" t="s">
        <v>85</v>
      </c>
      <c r="H56" s="3"/>
      <c r="I56" s="147" t="s">
        <v>86</v>
      </c>
      <c r="J56" s="147"/>
      <c r="K56" s="147"/>
      <c r="L56" s="62"/>
      <c r="M56" s="3"/>
      <c r="N56" s="3"/>
      <c r="O56" s="3"/>
      <c r="P56" s="60"/>
      <c r="Q56" s="3"/>
    </row>
    <row r="57" spans="1:17" ht="50.45" customHeight="1" x14ac:dyDescent="0.3">
      <c r="D57" s="63"/>
      <c r="E57" s="62" t="s">
        <v>87</v>
      </c>
      <c r="H57" s="64"/>
      <c r="I57" s="147" t="s">
        <v>88</v>
      </c>
      <c r="J57" s="147"/>
      <c r="K57" s="147"/>
      <c r="L57" s="62"/>
      <c r="M57" s="65"/>
      <c r="N57" s="66"/>
      <c r="O57" s="3"/>
      <c r="P57" s="3"/>
      <c r="Q57" s="3"/>
    </row>
    <row r="58" spans="1:17" ht="37.5" customHeight="1" x14ac:dyDescent="0.5">
      <c r="C58" s="67"/>
      <c r="D58" s="68"/>
      <c r="E58" s="68"/>
      <c r="F58" s="68"/>
      <c r="G58" s="69"/>
    </row>
    <row r="59" spans="1:17" ht="37.5" customHeight="1" x14ac:dyDescent="0.5">
      <c r="C59" s="67"/>
      <c r="D59" s="68"/>
      <c r="E59" s="70"/>
      <c r="F59" s="70"/>
      <c r="G59" s="71"/>
    </row>
    <row r="60" spans="1:17" ht="37.5" customHeight="1" x14ac:dyDescent="0.5">
      <c r="C60" s="67"/>
      <c r="D60" s="72"/>
      <c r="E60" s="67"/>
      <c r="F60" s="67"/>
      <c r="G60" s="69"/>
    </row>
    <row r="61" spans="1:17" ht="37.5" customHeight="1" x14ac:dyDescent="0.5">
      <c r="C61" s="67"/>
      <c r="D61" s="63"/>
      <c r="E61" s="63"/>
      <c r="F61" s="63"/>
      <c r="G61" s="63"/>
      <c r="H61" s="63"/>
      <c r="I61" s="63"/>
      <c r="J61" s="63"/>
      <c r="K61" s="63"/>
      <c r="L61" s="63"/>
      <c r="M61" s="73"/>
      <c r="N61" s="65"/>
    </row>
    <row r="62" spans="1:17" ht="37.5" customHeight="1" x14ac:dyDescent="0.5">
      <c r="C62" s="67"/>
      <c r="D62" s="68"/>
      <c r="E62" s="68"/>
      <c r="F62" s="68"/>
      <c r="G62" s="74"/>
      <c r="H62" s="63"/>
      <c r="I62" s="63"/>
      <c r="J62" s="63"/>
      <c r="K62" s="63"/>
      <c r="L62" s="63"/>
      <c r="M62" s="73"/>
      <c r="N62" s="65"/>
    </row>
    <row r="63" spans="1:17" ht="37.5" customHeight="1" x14ac:dyDescent="0.5">
      <c r="C63" s="67"/>
      <c r="D63" s="68"/>
      <c r="E63" s="68"/>
      <c r="F63" s="68"/>
      <c r="G63" s="74"/>
      <c r="H63" s="63"/>
      <c r="I63" s="63"/>
      <c r="J63" s="63"/>
      <c r="K63" s="63"/>
      <c r="L63" s="63"/>
      <c r="M63" s="73"/>
      <c r="N63" s="65"/>
    </row>
    <row r="64" spans="1:17" ht="37.5" customHeight="1" x14ac:dyDescent="0.5">
      <c r="C64" s="67"/>
      <c r="D64" s="68"/>
      <c r="E64" s="68"/>
      <c r="F64" s="68"/>
      <c r="G64" s="63"/>
    </row>
  </sheetData>
  <protectedRanges>
    <protectedRange sqref="C14" name="Data_7_1_1"/>
  </protectedRanges>
  <autoFilter ref="A12:Q12" xr:uid="{9F39948D-E9A9-49CF-B972-9BAF74CA9669}"/>
  <mergeCells count="13">
    <mergeCell ref="G4:I4"/>
    <mergeCell ref="G5:I5"/>
    <mergeCell ref="G6:I6"/>
    <mergeCell ref="H11:I11"/>
    <mergeCell ref="J11:O11"/>
    <mergeCell ref="I57:K57"/>
    <mergeCell ref="B21:E21"/>
    <mergeCell ref="B49:E49"/>
    <mergeCell ref="A50:A51"/>
    <mergeCell ref="B50:Q51"/>
    <mergeCell ref="B52:E52"/>
    <mergeCell ref="I56:K56"/>
    <mergeCell ref="B13:D13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NOMINA  FIJOS ENERO  2024</vt:lpstr>
      <vt:lpstr>NOMINA TEMPORALES ENERO 2043</vt:lpstr>
      <vt:lpstr>NOMINA  FIJOS FEBRERO  2024 </vt:lpstr>
      <vt:lpstr>NOMINA TEMPORALES FEB. 2024</vt:lpstr>
      <vt:lpstr>NOMINA  FIJOS MARZO  2024</vt:lpstr>
      <vt:lpstr>NOMINA TEMPORALES MARZO 2024</vt:lpstr>
      <vt:lpstr>NOMINA  FIJOS ABRIL  2024 </vt:lpstr>
      <vt:lpstr>NOMINA TEMPORALES ABRIL 2024</vt:lpstr>
      <vt:lpstr>NOMINA  FIJOS MAYO  2024 </vt:lpstr>
      <vt:lpstr>NOMINA TEMPORALES MAYO 2024</vt:lpstr>
      <vt:lpstr>NOMINA  FIJOS JUNIO 2024  </vt:lpstr>
      <vt:lpstr>NOMINA TEMPORALES JUNIO 2024 </vt:lpstr>
      <vt:lpstr>'NOMINA  FIJOS ABRIL  2024 '!Área_de_impresión</vt:lpstr>
      <vt:lpstr>'NOMINA  FIJOS ENERO  2024'!Área_de_impresión</vt:lpstr>
      <vt:lpstr>'NOMINA  FIJOS FEBRERO  2024 '!Área_de_impresión</vt:lpstr>
      <vt:lpstr>'NOMINA  FIJOS JUNIO 2024  '!Área_de_impresión</vt:lpstr>
      <vt:lpstr>'NOMINA  FIJOS MARZO  2024'!Área_de_impresión</vt:lpstr>
      <vt:lpstr>'NOMINA  FIJOS MAYO  2024 '!Área_de_impresión</vt:lpstr>
      <vt:lpstr>'NOMINA TEMPORALES ABRIL 2024'!Área_de_impresión</vt:lpstr>
      <vt:lpstr>'NOMINA TEMPORALES ENERO 2043'!Área_de_impresión</vt:lpstr>
      <vt:lpstr>'NOMINA TEMPORALES FEB. 2024'!Área_de_impresión</vt:lpstr>
      <vt:lpstr>'NOMINA TEMPORALES JUNIO 2024 '!Área_de_impresión</vt:lpstr>
      <vt:lpstr>'NOMINA TEMPORALES MARZO 2024'!Área_de_impresión</vt:lpstr>
      <vt:lpstr>'NOMINA TEMPORALES 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Ruddy Ramos</cp:lastModifiedBy>
  <cp:lastPrinted>2024-07-04T14:59:55Z</cp:lastPrinted>
  <dcterms:created xsi:type="dcterms:W3CDTF">2024-01-24T12:39:18Z</dcterms:created>
  <dcterms:modified xsi:type="dcterms:W3CDTF">2024-07-04T14:59:57Z</dcterms:modified>
</cp:coreProperties>
</file>