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ldeluna_dgapp_gob_do/Documents/Escritorio/OAI DOCUMENTOS/Nóminas DGAPP/2026/Junio 2026/"/>
    </mc:Choice>
  </mc:AlternateContent>
  <xr:revisionPtr revIDLastSave="15" documentId="8_{FD557D03-A5EA-441D-8899-125E2B18CABB}" xr6:coauthVersionLast="47" xr6:coauthVersionMax="47" xr10:uidLastSave="{FC7C5981-1761-4705-80F9-9CFABCBADE6A}"/>
  <bookViews>
    <workbookView xWindow="-20520" yWindow="-120" windowWidth="20640" windowHeight="11040" xr2:uid="{BE63BE3F-460E-4D92-9A60-540F96B44B69}"/>
  </bookViews>
  <sheets>
    <sheet name="NOM TEMPORALES JUNIO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R105" i="1" l="1"/>
  <c r="Q105" i="1"/>
  <c r="P105" i="1"/>
  <c r="O105" i="1"/>
  <c r="N105" i="1"/>
  <c r="M105" i="1"/>
  <c r="H105" i="1"/>
  <c r="J104" i="1"/>
  <c r="I104" i="1"/>
  <c r="S104" i="1" s="1"/>
  <c r="T104" i="1" s="1"/>
  <c r="L103" i="1"/>
  <c r="L105" i="1" s="1"/>
  <c r="J103" i="1"/>
  <c r="J105" i="1" s="1"/>
  <c r="I103" i="1"/>
  <c r="J102" i="1"/>
  <c r="I102" i="1"/>
  <c r="S102" i="1" s="1"/>
  <c r="T102" i="1" s="1"/>
  <c r="J101" i="1"/>
  <c r="I101" i="1"/>
  <c r="S101" i="1" s="1"/>
  <c r="T101" i="1" s="1"/>
  <c r="J100" i="1"/>
  <c r="I100" i="1"/>
  <c r="I105" i="1" s="1"/>
  <c r="R98" i="1"/>
  <c r="Q98" i="1"/>
  <c r="P98" i="1"/>
  <c r="O98" i="1"/>
  <c r="N98" i="1"/>
  <c r="M98" i="1"/>
  <c r="L98" i="1"/>
  <c r="H98" i="1"/>
  <c r="J97" i="1"/>
  <c r="J98" i="1" s="1"/>
  <c r="I97" i="1"/>
  <c r="I98" i="1" s="1"/>
  <c r="R94" i="1"/>
  <c r="Q94" i="1"/>
  <c r="P94" i="1"/>
  <c r="O94" i="1"/>
  <c r="N94" i="1"/>
  <c r="M94" i="1"/>
  <c r="L94" i="1"/>
  <c r="H94" i="1"/>
  <c r="L93" i="1"/>
  <c r="J93" i="1"/>
  <c r="S93" i="1" s="1"/>
  <c r="T93" i="1" s="1"/>
  <c r="I93" i="1"/>
  <c r="K93" i="1" s="1"/>
  <c r="L92" i="1"/>
  <c r="J92" i="1"/>
  <c r="J94" i="1" s="1"/>
  <c r="I92" i="1"/>
  <c r="S92" i="1" s="1"/>
  <c r="T92" i="1" s="1"/>
  <c r="J91" i="1"/>
  <c r="I91" i="1"/>
  <c r="S91" i="1" s="1"/>
  <c r="R88" i="1"/>
  <c r="Q88" i="1"/>
  <c r="P88" i="1"/>
  <c r="O88" i="1"/>
  <c r="N88" i="1"/>
  <c r="M88" i="1"/>
  <c r="H88" i="1"/>
  <c r="J87" i="1"/>
  <c r="I87" i="1"/>
  <c r="S87" i="1" s="1"/>
  <c r="T87" i="1" s="1"/>
  <c r="S86" i="1"/>
  <c r="T86" i="1" s="1"/>
  <c r="J86" i="1"/>
  <c r="K86" i="1" s="1"/>
  <c r="I86" i="1"/>
  <c r="J85" i="1"/>
  <c r="K85" i="1" s="1"/>
  <c r="I85" i="1"/>
  <c r="S85" i="1" s="1"/>
  <c r="T85" i="1" s="1"/>
  <c r="L84" i="1"/>
  <c r="L88" i="1" s="1"/>
  <c r="K84" i="1"/>
  <c r="J84" i="1"/>
  <c r="I84" i="1"/>
  <c r="J83" i="1"/>
  <c r="I83" i="1"/>
  <c r="S83" i="1" s="1"/>
  <c r="T83" i="1" s="1"/>
  <c r="J82" i="1"/>
  <c r="I82" i="1"/>
  <c r="K82" i="1" s="1"/>
  <c r="J81" i="1"/>
  <c r="S81" i="1" s="1"/>
  <c r="T81" i="1" s="1"/>
  <c r="I81" i="1"/>
  <c r="K81" i="1" s="1"/>
  <c r="J80" i="1"/>
  <c r="J88" i="1" s="1"/>
  <c r="I80" i="1"/>
  <c r="I88" i="1" s="1"/>
  <c r="R78" i="1"/>
  <c r="Q78" i="1"/>
  <c r="P78" i="1"/>
  <c r="O78" i="1"/>
  <c r="N78" i="1"/>
  <c r="M78" i="1"/>
  <c r="L78" i="1"/>
  <c r="J78" i="1"/>
  <c r="I78" i="1"/>
  <c r="H78" i="1"/>
  <c r="K77" i="1"/>
  <c r="J77" i="1"/>
  <c r="I77" i="1"/>
  <c r="S77" i="1" s="1"/>
  <c r="T77" i="1" s="1"/>
  <c r="J76" i="1"/>
  <c r="I76" i="1"/>
  <c r="S76" i="1" s="1"/>
  <c r="S75" i="1"/>
  <c r="T75" i="1" s="1"/>
  <c r="K75" i="1"/>
  <c r="J75" i="1"/>
  <c r="I75" i="1"/>
  <c r="R73" i="1"/>
  <c r="Q73" i="1"/>
  <c r="P73" i="1"/>
  <c r="O73" i="1"/>
  <c r="M73" i="1"/>
  <c r="L73" i="1"/>
  <c r="H73" i="1"/>
  <c r="L72" i="1"/>
  <c r="J72" i="1"/>
  <c r="I72" i="1"/>
  <c r="S72" i="1" s="1"/>
  <c r="T72" i="1" s="1"/>
  <c r="N71" i="1"/>
  <c r="S71" i="1" s="1"/>
  <c r="T71" i="1" s="1"/>
  <c r="J71" i="1"/>
  <c r="K71" i="1" s="1"/>
  <c r="I71" i="1"/>
  <c r="J70" i="1"/>
  <c r="J73" i="1" s="1"/>
  <c r="I70" i="1"/>
  <c r="I73" i="1" s="1"/>
  <c r="R68" i="1"/>
  <c r="Q68" i="1"/>
  <c r="P68" i="1"/>
  <c r="O68" i="1"/>
  <c r="N68" i="1"/>
  <c r="M68" i="1"/>
  <c r="H68" i="1"/>
  <c r="S67" i="1"/>
  <c r="T67" i="1" s="1"/>
  <c r="K67" i="1"/>
  <c r="J67" i="1"/>
  <c r="I67" i="1"/>
  <c r="L66" i="1"/>
  <c r="L68" i="1" s="1"/>
  <c r="J66" i="1"/>
  <c r="K66" i="1" s="1"/>
  <c r="I66" i="1"/>
  <c r="S66" i="1" s="1"/>
  <c r="T66" i="1" s="1"/>
  <c r="J65" i="1"/>
  <c r="S65" i="1" s="1"/>
  <c r="T65" i="1" s="1"/>
  <c r="I65" i="1"/>
  <c r="J64" i="1"/>
  <c r="I64" i="1"/>
  <c r="S64" i="1" s="1"/>
  <c r="T64" i="1" s="1"/>
  <c r="J63" i="1"/>
  <c r="J68" i="1" s="1"/>
  <c r="I63" i="1"/>
  <c r="I68" i="1" s="1"/>
  <c r="R61" i="1"/>
  <c r="Q61" i="1"/>
  <c r="P61" i="1"/>
  <c r="O61" i="1"/>
  <c r="N61" i="1"/>
  <c r="M61" i="1"/>
  <c r="L61" i="1"/>
  <c r="K61" i="1"/>
  <c r="J61" i="1"/>
  <c r="I61" i="1"/>
  <c r="H61" i="1"/>
  <c r="S60" i="1"/>
  <c r="S61" i="1" s="1"/>
  <c r="K60" i="1"/>
  <c r="J60" i="1"/>
  <c r="I60" i="1"/>
  <c r="R58" i="1"/>
  <c r="Q58" i="1"/>
  <c r="P58" i="1"/>
  <c r="O58" i="1"/>
  <c r="N58" i="1"/>
  <c r="M58" i="1"/>
  <c r="L58" i="1"/>
  <c r="H58" i="1"/>
  <c r="J57" i="1"/>
  <c r="I57" i="1"/>
  <c r="S57" i="1" s="1"/>
  <c r="T57" i="1" s="1"/>
  <c r="N56" i="1"/>
  <c r="K56" i="1"/>
  <c r="J56" i="1"/>
  <c r="J58" i="1" s="1"/>
  <c r="I56" i="1"/>
  <c r="S56" i="1" s="1"/>
  <c r="R54" i="1"/>
  <c r="Q54" i="1"/>
  <c r="P54" i="1"/>
  <c r="O54" i="1"/>
  <c r="N54" i="1"/>
  <c r="M54" i="1"/>
  <c r="L54" i="1"/>
  <c r="H54" i="1"/>
  <c r="O53" i="1"/>
  <c r="J53" i="1"/>
  <c r="I53" i="1"/>
  <c r="K53" i="1" s="1"/>
  <c r="S52" i="1"/>
  <c r="T52" i="1" s="1"/>
  <c r="K52" i="1"/>
  <c r="J52" i="1"/>
  <c r="I52" i="1"/>
  <c r="J51" i="1"/>
  <c r="I51" i="1"/>
  <c r="S51" i="1" s="1"/>
  <c r="T51" i="1" s="1"/>
  <c r="S50" i="1"/>
  <c r="T50" i="1" s="1"/>
  <c r="J50" i="1"/>
  <c r="I50" i="1"/>
  <c r="K50" i="1" s="1"/>
  <c r="J49" i="1"/>
  <c r="K49" i="1" s="1"/>
  <c r="I49" i="1"/>
  <c r="S49" i="1" s="1"/>
  <c r="T49" i="1" s="1"/>
  <c r="J48" i="1"/>
  <c r="K48" i="1" s="1"/>
  <c r="I48" i="1"/>
  <c r="J47" i="1"/>
  <c r="I47" i="1"/>
  <c r="S47" i="1" s="1"/>
  <c r="T47" i="1" s="1"/>
  <c r="J46" i="1"/>
  <c r="J54" i="1" s="1"/>
  <c r="I46" i="1"/>
  <c r="I54" i="1" s="1"/>
  <c r="R44" i="1"/>
  <c r="Q44" i="1"/>
  <c r="P44" i="1"/>
  <c r="O44" i="1"/>
  <c r="N44" i="1"/>
  <c r="M44" i="1"/>
  <c r="L44" i="1"/>
  <c r="H44" i="1"/>
  <c r="T43" i="1"/>
  <c r="S43" i="1"/>
  <c r="J43" i="1"/>
  <c r="I43" i="1"/>
  <c r="K43" i="1" s="1"/>
  <c r="J42" i="1"/>
  <c r="I42" i="1"/>
  <c r="S42" i="1" s="1"/>
  <c r="T42" i="1" s="1"/>
  <c r="S41" i="1"/>
  <c r="T41" i="1" s="1"/>
  <c r="K41" i="1"/>
  <c r="J41" i="1"/>
  <c r="I41" i="1"/>
  <c r="J40" i="1"/>
  <c r="S40" i="1" s="1"/>
  <c r="T40" i="1" s="1"/>
  <c r="I40" i="1"/>
  <c r="J39" i="1"/>
  <c r="J44" i="1" s="1"/>
  <c r="I39" i="1"/>
  <c r="K39" i="1" s="1"/>
  <c r="R37" i="1"/>
  <c r="Q37" i="1"/>
  <c r="P37" i="1"/>
  <c r="O37" i="1"/>
  <c r="N37" i="1"/>
  <c r="M37" i="1"/>
  <c r="L37" i="1"/>
  <c r="H37" i="1"/>
  <c r="L36" i="1"/>
  <c r="J36" i="1"/>
  <c r="K36" i="1" s="1"/>
  <c r="I36" i="1"/>
  <c r="S36" i="1" s="1"/>
  <c r="T36" i="1" s="1"/>
  <c r="J35" i="1"/>
  <c r="J37" i="1" s="1"/>
  <c r="I35" i="1"/>
  <c r="S35" i="1" s="1"/>
  <c r="T35" i="1" s="1"/>
  <c r="J34" i="1"/>
  <c r="I34" i="1"/>
  <c r="S34" i="1" s="1"/>
  <c r="T34" i="1" s="1"/>
  <c r="L33" i="1"/>
  <c r="J33" i="1"/>
  <c r="I33" i="1"/>
  <c r="I37" i="1" s="1"/>
  <c r="R31" i="1"/>
  <c r="Q31" i="1"/>
  <c r="P31" i="1"/>
  <c r="N31" i="1"/>
  <c r="M31" i="1"/>
  <c r="I31" i="1"/>
  <c r="H31" i="1"/>
  <c r="L30" i="1"/>
  <c r="J30" i="1"/>
  <c r="I30" i="1"/>
  <c r="S30" i="1" s="1"/>
  <c r="T30" i="1" s="1"/>
  <c r="O29" i="1"/>
  <c r="L29" i="1"/>
  <c r="S29" i="1" s="1"/>
  <c r="T29" i="1" s="1"/>
  <c r="K29" i="1"/>
  <c r="J29" i="1"/>
  <c r="I29" i="1"/>
  <c r="L28" i="1"/>
  <c r="J28" i="1"/>
  <c r="K28" i="1" s="1"/>
  <c r="I28" i="1"/>
  <c r="S28" i="1" s="1"/>
  <c r="T28" i="1" s="1"/>
  <c r="O27" i="1"/>
  <c r="L27" i="1"/>
  <c r="S27" i="1" s="1"/>
  <c r="T27" i="1" s="1"/>
  <c r="K27" i="1"/>
  <c r="J27" i="1"/>
  <c r="I27" i="1"/>
  <c r="O26" i="1"/>
  <c r="J26" i="1"/>
  <c r="I26" i="1"/>
  <c r="K26" i="1" s="1"/>
  <c r="O25" i="1"/>
  <c r="S25" i="1" s="1"/>
  <c r="T25" i="1" s="1"/>
  <c r="K25" i="1"/>
  <c r="J25" i="1"/>
  <c r="I25" i="1"/>
  <c r="J24" i="1"/>
  <c r="K24" i="1" s="1"/>
  <c r="I24" i="1"/>
  <c r="S24" i="1" s="1"/>
  <c r="T24" i="1" s="1"/>
  <c r="S23" i="1"/>
  <c r="T23" i="1" s="1"/>
  <c r="J23" i="1"/>
  <c r="J31" i="1" s="1"/>
  <c r="I23" i="1"/>
  <c r="K23" i="1" s="1"/>
  <c r="O22" i="1"/>
  <c r="O31" i="1" s="1"/>
  <c r="J22" i="1"/>
  <c r="I22" i="1"/>
  <c r="S22" i="1" s="1"/>
  <c r="R20" i="1"/>
  <c r="Q20" i="1"/>
  <c r="P20" i="1"/>
  <c r="O20" i="1"/>
  <c r="N20" i="1"/>
  <c r="M20" i="1"/>
  <c r="H20" i="1"/>
  <c r="L19" i="1"/>
  <c r="L20" i="1" s="1"/>
  <c r="K19" i="1"/>
  <c r="J19" i="1"/>
  <c r="S19" i="1" s="1"/>
  <c r="T19" i="1" s="1"/>
  <c r="I19" i="1"/>
  <c r="J18" i="1"/>
  <c r="I18" i="1"/>
  <c r="S18" i="1" s="1"/>
  <c r="T18" i="1" s="1"/>
  <c r="O17" i="1"/>
  <c r="J17" i="1"/>
  <c r="J20" i="1" s="1"/>
  <c r="I17" i="1"/>
  <c r="S17" i="1" s="1"/>
  <c r="T17" i="1" s="1"/>
  <c r="J16" i="1"/>
  <c r="I16" i="1"/>
  <c r="S16" i="1" s="1"/>
  <c r="R14" i="1"/>
  <c r="R108" i="1" s="1"/>
  <c r="Q14" i="1"/>
  <c r="Q108" i="1" s="1"/>
  <c r="P14" i="1"/>
  <c r="P108" i="1" s="1"/>
  <c r="O14" i="1"/>
  <c r="O108" i="1" s="1"/>
  <c r="N14" i="1"/>
  <c r="M14" i="1"/>
  <c r="M108" i="1" s="1"/>
  <c r="H14" i="1"/>
  <c r="H108" i="1" s="1"/>
  <c r="O13" i="1"/>
  <c r="L13" i="1"/>
  <c r="L14" i="1" s="1"/>
  <c r="K13" i="1"/>
  <c r="J13" i="1"/>
  <c r="S13" i="1" s="1"/>
  <c r="T13" i="1" s="1"/>
  <c r="I13" i="1"/>
  <c r="J12" i="1"/>
  <c r="J14" i="1" s="1"/>
  <c r="I12" i="1"/>
  <c r="S12" i="1" s="1"/>
  <c r="T56" i="1" l="1"/>
  <c r="T58" i="1" s="1"/>
  <c r="S58" i="1"/>
  <c r="T91" i="1"/>
  <c r="T94" i="1" s="1"/>
  <c r="S94" i="1"/>
  <c r="N108" i="1"/>
  <c r="T22" i="1"/>
  <c r="T31" i="1" s="1"/>
  <c r="K58" i="1"/>
  <c r="K78" i="1"/>
  <c r="T12" i="1"/>
  <c r="T14" i="1" s="1"/>
  <c r="S14" i="1"/>
  <c r="J108" i="1"/>
  <c r="T16" i="1"/>
  <c r="T20" i="1" s="1"/>
  <c r="S20" i="1"/>
  <c r="T76" i="1"/>
  <c r="T78" i="1" s="1"/>
  <c r="S78" i="1"/>
  <c r="I44" i="1"/>
  <c r="K65" i="1"/>
  <c r="K103" i="1"/>
  <c r="I94" i="1"/>
  <c r="L31" i="1"/>
  <c r="L108" i="1" s="1"/>
  <c r="K57" i="1"/>
  <c r="K63" i="1"/>
  <c r="N73" i="1"/>
  <c r="S82" i="1"/>
  <c r="T82" i="1" s="1"/>
  <c r="K92" i="1"/>
  <c r="K101" i="1"/>
  <c r="S103" i="1"/>
  <c r="T103" i="1" s="1"/>
  <c r="S39" i="1"/>
  <c r="K46" i="1"/>
  <c r="K54" i="1" s="1"/>
  <c r="S33" i="1"/>
  <c r="K42" i="1"/>
  <c r="S46" i="1"/>
  <c r="K51" i="1"/>
  <c r="S53" i="1"/>
  <c r="T53" i="1" s="1"/>
  <c r="S63" i="1"/>
  <c r="K80" i="1"/>
  <c r="K87" i="1"/>
  <c r="K97" i="1"/>
  <c r="K98" i="1" s="1"/>
  <c r="S48" i="1"/>
  <c r="T48" i="1" s="1"/>
  <c r="K72" i="1"/>
  <c r="K76" i="1"/>
  <c r="S80" i="1"/>
  <c r="S97" i="1"/>
  <c r="K17" i="1"/>
  <c r="I20" i="1"/>
  <c r="I14" i="1"/>
  <c r="K40" i="1"/>
  <c r="K44" i="1" s="1"/>
  <c r="K70" i="1"/>
  <c r="K73" i="1" s="1"/>
  <c r="K12" i="1"/>
  <c r="K14" i="1" s="1"/>
  <c r="K18" i="1"/>
  <c r="K22" i="1"/>
  <c r="K31" i="1" s="1"/>
  <c r="S26" i="1"/>
  <c r="T26" i="1" s="1"/>
  <c r="K30" i="1"/>
  <c r="I58" i="1"/>
  <c r="S70" i="1"/>
  <c r="K83" i="1"/>
  <c r="K104" i="1"/>
  <c r="K35" i="1"/>
  <c r="K16" i="1"/>
  <c r="K34" i="1"/>
  <c r="K47" i="1"/>
  <c r="K64" i="1"/>
  <c r="K102" i="1"/>
  <c r="K33" i="1"/>
  <c r="S84" i="1"/>
  <c r="T84" i="1" s="1"/>
  <c r="K91" i="1"/>
  <c r="K94" i="1" s="1"/>
  <c r="K100" i="1"/>
  <c r="T60" i="1"/>
  <c r="T61" i="1" s="1"/>
  <c r="S100" i="1"/>
  <c r="S54" i="1" l="1"/>
  <c r="T46" i="1"/>
  <c r="T54" i="1" s="1"/>
  <c r="K105" i="1"/>
  <c r="S73" i="1"/>
  <c r="T70" i="1"/>
  <c r="T73" i="1" s="1"/>
  <c r="S98" i="1"/>
  <c r="T97" i="1"/>
  <c r="T98" i="1" s="1"/>
  <c r="K37" i="1"/>
  <c r="S44" i="1"/>
  <c r="T39" i="1"/>
  <c r="T44" i="1" s="1"/>
  <c r="T108" i="1" s="1"/>
  <c r="S31" i="1"/>
  <c r="S108" i="1" s="1"/>
  <c r="T33" i="1"/>
  <c r="T37" i="1" s="1"/>
  <c r="S37" i="1"/>
  <c r="S88" i="1"/>
  <c r="T80" i="1"/>
  <c r="T88" i="1" s="1"/>
  <c r="K88" i="1"/>
  <c r="K20" i="1"/>
  <c r="K108" i="1" s="1"/>
  <c r="T63" i="1"/>
  <c r="T68" i="1" s="1"/>
  <c r="S68" i="1"/>
  <c r="I108" i="1"/>
  <c r="K68" i="1"/>
  <c r="S105" i="1"/>
  <c r="T100" i="1"/>
  <c r="T105" i="1" s="1"/>
</calcChain>
</file>

<file path=xl/sharedStrings.xml><?xml version="1.0" encoding="utf-8"?>
<sst xmlns="http://schemas.openxmlformats.org/spreadsheetml/2006/main" count="321" uniqueCount="179">
  <si>
    <t>DIRECCIÓN GENERAL DE ALIANZAS PÚBLICO PRIVADAS</t>
  </si>
  <si>
    <t>NÓMINA DE EMPLEADOS TEMPORALES</t>
  </si>
  <si>
    <t>CORRESPONDIENTE AL MES JUNIO 2026</t>
  </si>
  <si>
    <t>SUELDO</t>
  </si>
  <si>
    <t xml:space="preserve">SEGURIDA SOCIAL </t>
  </si>
  <si>
    <t xml:space="preserve">OTROS DESCUENTOS </t>
  </si>
  <si>
    <t>NO.</t>
  </si>
  <si>
    <t xml:space="preserve">FECHA DE INGRESO </t>
  </si>
  <si>
    <t>FECHA TERMINO</t>
  </si>
  <si>
    <t xml:space="preserve">GÉNERO </t>
  </si>
  <si>
    <t xml:space="preserve">NOMBRE </t>
  </si>
  <si>
    <t xml:space="preserve">FUNCIONES </t>
  </si>
  <si>
    <t xml:space="preserve">TIPO DE EMPLEADO </t>
  </si>
  <si>
    <t xml:space="preserve">INGRESO BRUTO </t>
  </si>
  <si>
    <t>AFP</t>
  </si>
  <si>
    <t>SFS</t>
  </si>
  <si>
    <t>SUB TOTAL PARA DEDUCCIONES</t>
  </si>
  <si>
    <t>ISR</t>
  </si>
  <si>
    <t>SALDO  A FAVOR IR13</t>
  </si>
  <si>
    <t>PERCAPITA ADICIONAL</t>
  </si>
  <si>
    <t>OTROS DESCUENTOS</t>
  </si>
  <si>
    <t>SEGURO MEDICO</t>
  </si>
  <si>
    <t>DESCUENTOS DE ÓPTICA</t>
  </si>
  <si>
    <t xml:space="preserve">CREDITO POR GASTOS EDUCATIVOS </t>
  </si>
  <si>
    <t>TOTAL DESC.</t>
  </si>
  <si>
    <t>NETO A COBRAR</t>
  </si>
  <si>
    <t>DIRECCIÓN DE PLANIFICACIÓN Y DESARROLLO</t>
  </si>
  <si>
    <t>23/11/2020</t>
  </si>
  <si>
    <t>F</t>
  </si>
  <si>
    <t xml:space="preserve">EUDES DANILDA PERALTA JIMÉNEZ </t>
  </si>
  <si>
    <t xml:space="preserve">DIRECTORA DE PLANIFICACIÓN Y DESARROLLO </t>
  </si>
  <si>
    <t xml:space="preserve">TEMPORAL </t>
  </si>
  <si>
    <t>TRICIA CARVAJAL DE MOREL</t>
  </si>
  <si>
    <t xml:space="preserve">ANALISTA DE MONITOREO Y EVALUACIÓN DE PLANES PROGRAMAS Y PROYECTOS </t>
  </si>
  <si>
    <t xml:space="preserve">SUB-TOTAL </t>
  </si>
  <si>
    <t xml:space="preserve">DIRECCIÓN DE RECURSOS HUMANOS </t>
  </si>
  <si>
    <t>M</t>
  </si>
  <si>
    <t>VIRGILIO COMAS ABREU</t>
  </si>
  <si>
    <t>DIRECTOR DE RECURSOS HUMANOS</t>
  </si>
  <si>
    <t>16/09/2020</t>
  </si>
  <si>
    <t>16/06/2025</t>
  </si>
  <si>
    <t>RAIZA BATISTA BATISTA</t>
  </si>
  <si>
    <t>ENC. DE DIVISIÓN DE EVALUCIÓN DE DESEMPEÑO Y CAPACITACIÓN</t>
  </si>
  <si>
    <t xml:space="preserve">STEPHANY ADAMES GALAN </t>
  </si>
  <si>
    <t xml:space="preserve">ANALISTA DE RRHH </t>
  </si>
  <si>
    <t>MAYXIS ARACHE GERMOSEN</t>
  </si>
  <si>
    <t>SUB-TOTAL</t>
  </si>
  <si>
    <t xml:space="preserve">DIRECCIÓN DE COMUNICACIONES </t>
  </si>
  <si>
    <t>CARLOS GUISARRE</t>
  </si>
  <si>
    <t>DIRECTOR DE COMUNICACIONES</t>
  </si>
  <si>
    <t>CESAR NAPOLEON DUVERNAY CESPEDES</t>
  </si>
  <si>
    <t>ESPECIALISTA DE COMUNICACIÓN EXTERNA</t>
  </si>
  <si>
    <t xml:space="preserve">EVENTUAL </t>
  </si>
  <si>
    <t>RADHA IRIS CASTILLO</t>
  </si>
  <si>
    <t>ENCARGADA DE LA DIVISION DE PROTOCOLO Y EVENTOS</t>
  </si>
  <si>
    <t xml:space="preserve">ANA LETICIA DURAN </t>
  </si>
  <si>
    <t xml:space="preserve">ANALISTA DE MEDIOS Y CONTENIDOS DIGITALES </t>
  </si>
  <si>
    <t xml:space="preserve">DIORKA COLON </t>
  </si>
  <si>
    <t>HUMBERTO ARVELO</t>
  </si>
  <si>
    <t>ANALISTA DE COMUNICACIONES</t>
  </si>
  <si>
    <t>16/11/2020</t>
  </si>
  <si>
    <t>16/07/2025</t>
  </si>
  <si>
    <t xml:space="preserve">HELEN ARIANA CASTILLO MENDEZ </t>
  </si>
  <si>
    <t xml:space="preserve">OFICIAL DE ATENCIÓN AL CUIDADANO </t>
  </si>
  <si>
    <t xml:space="preserve">ISABEL ENCARNACIÓN </t>
  </si>
  <si>
    <t xml:space="preserve">TÉCNICO ADMINISTRATIVA </t>
  </si>
  <si>
    <t xml:space="preserve">MARIA CAPUTO </t>
  </si>
  <si>
    <t xml:space="preserve">DIRECCIÓN DE JURÍDICA </t>
  </si>
  <si>
    <t>AYLETTE ELIZABETH GORIS MARTE</t>
  </si>
  <si>
    <t>DIRECTORA JURÍDICA</t>
  </si>
  <si>
    <t>AURELIN PEÑA ORTIZ</t>
  </si>
  <si>
    <t>ENCARGADA DEL DEPARTAMENTO DE ELABORACION DE DOCUMENTOS</t>
  </si>
  <si>
    <t xml:space="preserve">WILFRIDO MEJIA CONSE </t>
  </si>
  <si>
    <t xml:space="preserve">ANALISTA LEGAL </t>
  </si>
  <si>
    <t>JESUS MARIA GUERREO</t>
  </si>
  <si>
    <t xml:space="preserve">DIRECCIÓN ADMINISTRATIVA </t>
  </si>
  <si>
    <t xml:space="preserve"> HAMLET BURGOS </t>
  </si>
  <si>
    <t>DIRECTOR ADMINISTRATIVO</t>
  </si>
  <si>
    <t>MARIA LAURA DOMENE</t>
  </si>
  <si>
    <t xml:space="preserve">ANALISTA DE DOCUMENTACIÓN </t>
  </si>
  <si>
    <t>ANTONIO PERPIÑAN</t>
  </si>
  <si>
    <t>COORDINADOR ADMINISTRATIVO</t>
  </si>
  <si>
    <t xml:space="preserve">ISMAEL GARCIA NUÑEZ </t>
  </si>
  <si>
    <t>TECNICO ADMINISTRATIVO</t>
  </si>
  <si>
    <t>JORGE ARTURO PANIAGUA SEGURA</t>
  </si>
  <si>
    <t xml:space="preserve">DIRECCIÓN FINANCIERA </t>
  </si>
  <si>
    <t>MARIA EUGENIA MONTERO SORIANO</t>
  </si>
  <si>
    <t>DIRECTORA FINANCIERA</t>
  </si>
  <si>
    <t xml:space="preserve">JUAN DE LA CRUZ  GONZALEZ BRITO </t>
  </si>
  <si>
    <t xml:space="preserve">ENCARGADO DE CONTABILIDAD </t>
  </si>
  <si>
    <t xml:space="preserve">BIENVENIDA ALTAGRACIA OSORIA RODRIGUEZ </t>
  </si>
  <si>
    <t xml:space="preserve">CONTADORA </t>
  </si>
  <si>
    <t xml:space="preserve">YOHAN ALCANTARA ALCANTARA </t>
  </si>
  <si>
    <t xml:space="preserve">ANALISTA DE PRESUPUESTO </t>
  </si>
  <si>
    <t xml:space="preserve">FRANCHESCA LA PAIX BALCACER </t>
  </si>
  <si>
    <t>ENCARGADA DE SECCIÓN DE PRESUPUESTO</t>
  </si>
  <si>
    <t>ARCADIO RICHARD HEREDIA</t>
  </si>
  <si>
    <t>20/11/2024</t>
  </si>
  <si>
    <t>20/05/2025</t>
  </si>
  <si>
    <t>PABLO OLIVIO GUZMAN SORIANO</t>
  </si>
  <si>
    <t>MADELYN ABREU ROSARIO</t>
  </si>
  <si>
    <t xml:space="preserve">COMPRAS Y CONTRATACIONES </t>
  </si>
  <si>
    <t>KEILA FIGUEROA</t>
  </si>
  <si>
    <t xml:space="preserve">ENCARGADA DEL DEPARTAMENTO DE COMPRAS Y CONTRATACIONES </t>
  </si>
  <si>
    <t>CLARA PASTORA PIMENTEL CANDELARIA</t>
  </si>
  <si>
    <t xml:space="preserve">ANALISTA DE COMPRAS Y CONTRATACIONES </t>
  </si>
  <si>
    <t>DEPARTAMENTO DE ACCESO A LA INFORMACIÓN</t>
  </si>
  <si>
    <t>LAURA DE LUNA</t>
  </si>
  <si>
    <t>RESPONSABLE DE ACCESO A LA INFORMACIÓN</t>
  </si>
  <si>
    <t xml:space="preserve">DEPARTAMENTO DE SERVICIOS GENERALES </t>
  </si>
  <si>
    <t>JOHANNA CASTILLO DE OLEO</t>
  </si>
  <si>
    <t xml:space="preserve">ENCARGADO  DEL DEPARTAMENTO SERVICIOS GENERALES </t>
  </si>
  <si>
    <t>JORGE EMILIO CUEVAS SANTOS</t>
  </si>
  <si>
    <t>TÉCNICO ADMINISTRATIVO</t>
  </si>
  <si>
    <t>ELFRI HERIBERTO VICTORIA</t>
  </si>
  <si>
    <t>AYUDANTE DE COCINA</t>
  </si>
  <si>
    <t>JOSE MANUEL RIVERA</t>
  </si>
  <si>
    <t>SUPERVISOR DE MANTENIMIENTO</t>
  </si>
  <si>
    <t>WILFRIDO GALAN RODRIGUEZ</t>
  </si>
  <si>
    <t>ENCARGADO DE LA SECCION DE TRANSPORTACIÓN</t>
  </si>
  <si>
    <t>DIRECCIÓN DE TRANSFORMACIÓN DIGITAL</t>
  </si>
  <si>
    <t>LEOVIGILDO ANTONIO GOMEZ GENAO</t>
  </si>
  <si>
    <t>DIRECTOR DE TRANSFORMACIÓ DIGITAL</t>
  </si>
  <si>
    <t>27/08/2020</t>
  </si>
  <si>
    <t xml:space="preserve">CESAR GUERRERO </t>
  </si>
  <si>
    <t>ANALISTA  INFORMÁTICO</t>
  </si>
  <si>
    <t xml:space="preserve">CLAUDIO ESPINOSA GALARZA </t>
  </si>
  <si>
    <t xml:space="preserve">DESARROLLADOR DE SISTEMA </t>
  </si>
  <si>
    <t xml:space="preserve">DIRECCIÓN DE PROMOCIÓN DE ALIANZAS PÚBLICO PRIVADAS </t>
  </si>
  <si>
    <t xml:space="preserve"> </t>
  </si>
  <si>
    <t>18/08/2020</t>
  </si>
  <si>
    <t>IZALIA LÓPEZ</t>
  </si>
  <si>
    <t>DIRECTORA DE  PROMOCIÓN Y MODALIDAD DE CONTRATACIÓN APP</t>
  </si>
  <si>
    <t>KEISY MARLENY BREA VIDAL</t>
  </si>
  <si>
    <t>ANALISTA DE PROMOCIÓN APP</t>
  </si>
  <si>
    <t xml:space="preserve">MONICA SEBELEN </t>
  </si>
  <si>
    <t xml:space="preserve">ENC. DEP. FOMENTO A LA COMPETENCIA </t>
  </si>
  <si>
    <t xml:space="preserve">DIRECCIÓN TÉCNICA DE ALIANZAS PÚBLICO PRIVADAS </t>
  </si>
  <si>
    <t>17/11/2020</t>
  </si>
  <si>
    <t>17/06/2025</t>
  </si>
  <si>
    <t xml:space="preserve">ELBA PATRICIA MÉNDEZ ROSARIO </t>
  </si>
  <si>
    <t>DIRECTORA TÉCNICA</t>
  </si>
  <si>
    <t xml:space="preserve">CORAL YAMEL SORIANO BRITO </t>
  </si>
  <si>
    <t>ENCARGADO DE DEPARTAMENTO DE ANTEPROYECTOS Y PRESENTACIÓN DE INICIATIVAS</t>
  </si>
  <si>
    <t>01/02//2024</t>
  </si>
  <si>
    <t>KATE ALEXANDRA ALCANTARA DE LA CRUZ</t>
  </si>
  <si>
    <t xml:space="preserve">
ANALISTA I DEL DEPARTAMENTO DE ANTEPROYECTO Y PRESENTACIÓN DE INICIATIVA</t>
  </si>
  <si>
    <t>GUIDO ANTONIO MELO PEÑA</t>
  </si>
  <si>
    <t>ANALISTA TECNICO</t>
  </si>
  <si>
    <t>JUSTO RAMON VARGAS MARTINEZ</t>
  </si>
  <si>
    <t>INSPECTOR</t>
  </si>
  <si>
    <t>DENNY ANTONIO AGRAMONTE PATRICIO</t>
  </si>
  <si>
    <t>NANCY VENTURA</t>
  </si>
  <si>
    <t>ANALISTA DE PROYECTOS</t>
  </si>
  <si>
    <t>ENGELS HERNANDEZ</t>
  </si>
  <si>
    <t>COORDINADOR DE ESTRUCTURACION TECNICA</t>
  </si>
  <si>
    <t xml:space="preserve">DIRECCIÓN DE INSPECCIÓN DE PROYECTOS DE ALIANZAS PÚBLICO PRIVADAS </t>
  </si>
  <si>
    <t>ARIEL MORETA</t>
  </si>
  <si>
    <t>DIRECTOR DE INSPECCION DE PROYECTOS DE APP</t>
  </si>
  <si>
    <t>NERYS FELIPE DURAN</t>
  </si>
  <si>
    <t>COORDINADOR DEL DEPART. DE INSPECCIÓN DE PROYECTOS DE SERVIDORES PÚBLICOS APP</t>
  </si>
  <si>
    <t>YERALDINA ESTHER PEÑA MATOS</t>
  </si>
  <si>
    <t>ANALISTA TÉCNICA</t>
  </si>
  <si>
    <t xml:space="preserve">DIRECCIÓN DE ENLACE INTERINSTITUCIONAL DE ALIANZAS PÚBLICO PRIVADAS
</t>
  </si>
  <si>
    <t>SAMIR ELIAS</t>
  </si>
  <si>
    <t>DIRECTOR DE  COORDINACION INFRAESTRUCTURA APP</t>
  </si>
  <si>
    <t>DIRECCIÓN DE CONTRATOS DE ALIANZAS PÚBLICO PRIVADAS</t>
  </si>
  <si>
    <t xml:space="preserve">ANGELO JOSE GÓMEZ ENCARNACIÓN </t>
  </si>
  <si>
    <t>DIRECTOR DE CONTRATOS APP</t>
  </si>
  <si>
    <t xml:space="preserve">JENNYFER CONTIN DE PINEL </t>
  </si>
  <si>
    <t xml:space="preserve">ENCARGADA. DEL  DEP. DE ESTRUCTURACIÓN DE PROCESOS COMPETITIVOS </t>
  </si>
  <si>
    <t>LARIELYS PEREZ PEREZ</t>
  </si>
  <si>
    <t xml:space="preserve">ANALISTA DE ESTRUCTURACION DE PROCESOS COMPETITIVOS </t>
  </si>
  <si>
    <t>VILMA DIAZ</t>
  </si>
  <si>
    <t>ENCARGADA SECCION DE FIDEICOMISO Y OFERTA PUBLICA</t>
  </si>
  <si>
    <t>NIKOLE GUERRERO</t>
  </si>
  <si>
    <t>COORDINADORA DE CONTRATOS APP</t>
  </si>
  <si>
    <t>TOTALES GENERALES</t>
  </si>
  <si>
    <t xml:space="preserve">DIRECTOR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</si>
</sst>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  <numFmt numFmtId="167" formatCode="#,##0.00000000"/>
  </numFmts>
  <fonts count="2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b/>
      <sz val="22"/>
      <name val="Century Gothic"/>
      <family val="2"/>
    </font>
    <font>
      <sz val="11"/>
      <color indexed="8"/>
      <name val="Century Gothic"/>
      <family val="2"/>
    </font>
    <font>
      <b/>
      <sz val="24"/>
      <color indexed="8"/>
      <name val="Century Gothic"/>
      <family val="2"/>
    </font>
    <font>
      <sz val="20"/>
      <color rgb="FFC00000"/>
      <name val="Century Gothic"/>
      <family val="2"/>
    </font>
    <font>
      <sz val="18"/>
      <color indexed="8"/>
      <name val="Century Gothic"/>
      <family val="2"/>
    </font>
    <font>
      <sz val="24"/>
      <color indexed="8"/>
      <name val="Century Gothic"/>
      <family val="2"/>
    </font>
    <font>
      <sz val="20"/>
      <name val="Century Gothic"/>
      <family val="2"/>
    </font>
    <font>
      <sz val="20"/>
      <color indexed="8"/>
      <name val="Century Gothic"/>
      <family val="2"/>
    </font>
    <font>
      <sz val="22"/>
      <color indexed="8"/>
      <name val="Century Gothic"/>
      <family val="2"/>
    </font>
    <font>
      <b/>
      <sz val="14"/>
      <name val="Century Gothic"/>
      <family val="2"/>
    </font>
    <font>
      <b/>
      <sz val="14"/>
      <color indexed="8"/>
      <name val="Century Gothic"/>
      <family val="2"/>
    </font>
    <font>
      <sz val="22"/>
      <name val="Century Gothic"/>
      <family val="2"/>
    </font>
    <font>
      <b/>
      <sz val="20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sz val="16"/>
      <name val="Century Gothic"/>
      <family val="2"/>
    </font>
    <font>
      <sz val="24"/>
      <name val="Century Gothic"/>
      <family val="2"/>
    </font>
    <font>
      <sz val="28"/>
      <name val="Century Gothic"/>
      <family val="2"/>
    </font>
    <font>
      <sz val="24"/>
      <color rgb="FFFF0000"/>
      <name val="Century Gothic"/>
      <family val="2"/>
    </font>
    <font>
      <b/>
      <sz val="20"/>
      <color indexed="8"/>
      <name val="Century Gothic"/>
      <family val="2"/>
    </font>
    <font>
      <u val="singleAccounting"/>
      <sz val="22"/>
      <color indexed="8"/>
      <name val="Century Gothic"/>
      <family val="2"/>
    </font>
    <font>
      <sz val="26"/>
      <color indexed="8"/>
      <name val="Century Gothic"/>
      <family val="2"/>
    </font>
    <font>
      <u val="double"/>
      <sz val="24"/>
      <color indexed="8"/>
      <name val="Century Gothic"/>
      <family val="2"/>
    </font>
    <font>
      <sz val="1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160">
    <xf numFmtId="0" fontId="0" fillId="0" borderId="0" xfId="0"/>
    <xf numFmtId="0" fontId="2" fillId="0" borderId="0" xfId="2" applyFont="1"/>
    <xf numFmtId="0" fontId="4" fillId="0" borderId="0" xfId="3" applyFont="1"/>
    <xf numFmtId="44" fontId="4" fillId="0" borderId="0" xfId="3" applyNumberFormat="1" applyFont="1"/>
    <xf numFmtId="0" fontId="5" fillId="0" borderId="0" xfId="3" applyFont="1"/>
    <xf numFmtId="0" fontId="6" fillId="0" borderId="0" xfId="3" applyFont="1"/>
    <xf numFmtId="0" fontId="4" fillId="0" borderId="0" xfId="3" applyFont="1" applyAlignment="1">
      <alignment horizontal="center"/>
    </xf>
    <xf numFmtId="44" fontId="6" fillId="0" borderId="0" xfId="3" applyNumberFormat="1" applyFont="1"/>
    <xf numFmtId="0" fontId="4" fillId="0" borderId="0" xfId="3" applyFont="1" applyAlignment="1">
      <alignment wrapText="1"/>
    </xf>
    <xf numFmtId="0" fontId="7" fillId="0" borderId="0" xfId="3" applyFont="1" applyAlignment="1">
      <alignment horizontal="center" wrapText="1"/>
    </xf>
    <xf numFmtId="164" fontId="4" fillId="0" borderId="0" xfId="3" applyNumberFormat="1" applyFont="1" applyAlignment="1">
      <alignment horizontal="center"/>
    </xf>
    <xf numFmtId="0" fontId="5" fillId="0" borderId="0" xfId="3" applyFont="1" applyAlignment="1">
      <alignment wrapText="1"/>
    </xf>
    <xf numFmtId="44" fontId="8" fillId="0" borderId="0" xfId="3" applyNumberFormat="1" applyFont="1"/>
    <xf numFmtId="164" fontId="4" fillId="0" borderId="0" xfId="3" applyNumberFormat="1" applyFont="1"/>
    <xf numFmtId="164" fontId="5" fillId="0" borderId="0" xfId="3" applyNumberFormat="1" applyFont="1"/>
    <xf numFmtId="43" fontId="9" fillId="0" borderId="0" xfId="1" applyFont="1"/>
    <xf numFmtId="44" fontId="10" fillId="0" borderId="0" xfId="3" applyNumberFormat="1" applyFont="1"/>
    <xf numFmtId="44" fontId="11" fillId="0" borderId="0" xfId="2" applyNumberFormat="1" applyFont="1"/>
    <xf numFmtId="164" fontId="5" fillId="0" borderId="0" xfId="3" applyNumberFormat="1" applyFont="1" applyAlignment="1">
      <alignment horizontal="center"/>
    </xf>
    <xf numFmtId="2" fontId="4" fillId="0" borderId="0" xfId="3" applyNumberFormat="1" applyFont="1" applyAlignment="1">
      <alignment horizontal="center"/>
    </xf>
    <xf numFmtId="44" fontId="12" fillId="0" borderId="0" xfId="3" applyNumberFormat="1" applyFont="1"/>
    <xf numFmtId="44" fontId="9" fillId="0" borderId="0" xfId="3" applyNumberFormat="1" applyFont="1"/>
    <xf numFmtId="44" fontId="13" fillId="0" borderId="0" xfId="3" applyNumberFormat="1" applyFont="1"/>
    <xf numFmtId="0" fontId="14" fillId="0" borderId="0" xfId="3" applyFont="1"/>
    <xf numFmtId="0" fontId="15" fillId="0" borderId="0" xfId="3" applyFont="1"/>
    <xf numFmtId="165" fontId="15" fillId="0" borderId="0" xfId="3" applyNumberFormat="1" applyFont="1"/>
    <xf numFmtId="4" fontId="16" fillId="0" borderId="0" xfId="1" applyNumberFormat="1" applyFont="1" applyFill="1" applyBorder="1" applyAlignment="1">
      <alignment horizontal="right" vertical="center"/>
    </xf>
    <xf numFmtId="0" fontId="11" fillId="0" borderId="0" xfId="3" applyFont="1"/>
    <xf numFmtId="0" fontId="17" fillId="0" borderId="0" xfId="3" applyFont="1"/>
    <xf numFmtId="0" fontId="17" fillId="2" borderId="1" xfId="3" applyFont="1" applyFill="1" applyBorder="1" applyAlignment="1">
      <alignment horizontal="center"/>
    </xf>
    <xf numFmtId="0" fontId="17" fillId="2" borderId="2" xfId="3" applyFont="1" applyFill="1" applyBorder="1" applyAlignment="1">
      <alignment horizontal="center"/>
    </xf>
    <xf numFmtId="0" fontId="17" fillId="2" borderId="4" xfId="3" applyFont="1" applyFill="1" applyBorder="1" applyAlignment="1">
      <alignment horizontal="center"/>
    </xf>
    <xf numFmtId="0" fontId="18" fillId="2" borderId="4" xfId="3" applyFont="1" applyFill="1" applyBorder="1" applyAlignment="1">
      <alignment horizontal="center" vertical="center" wrapText="1"/>
    </xf>
    <xf numFmtId="0" fontId="18" fillId="2" borderId="5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0" fontId="17" fillId="2" borderId="4" xfId="3" applyFont="1" applyFill="1" applyBorder="1" applyAlignment="1">
      <alignment horizontal="center" vertical="center" wrapText="1"/>
    </xf>
    <xf numFmtId="0" fontId="18" fillId="2" borderId="5" xfId="4" applyFont="1" applyFill="1" applyBorder="1" applyAlignment="1">
      <alignment horizontal="center" vertical="center" wrapText="1"/>
    </xf>
    <xf numFmtId="0" fontId="19" fillId="0" borderId="4" xfId="3" applyFont="1" applyBorder="1" applyAlignment="1">
      <alignment horizontal="left"/>
    </xf>
    <xf numFmtId="166" fontId="5" fillId="0" borderId="1" xfId="3" applyNumberFormat="1" applyFont="1" applyBorder="1" applyAlignment="1">
      <alignment horizontal="left"/>
    </xf>
    <xf numFmtId="166" fontId="5" fillId="0" borderId="3" xfId="3" applyNumberFormat="1" applyFont="1" applyBorder="1" applyAlignment="1">
      <alignment horizontal="left"/>
    </xf>
    <xf numFmtId="166" fontId="5" fillId="0" borderId="2" xfId="3" applyNumberFormat="1" applyFont="1" applyBorder="1" applyAlignment="1">
      <alignment horizontal="left"/>
    </xf>
    <xf numFmtId="166" fontId="5" fillId="0" borderId="2" xfId="3" applyNumberFormat="1" applyFont="1" applyBorder="1"/>
    <xf numFmtId="0" fontId="16" fillId="0" borderId="4" xfId="3" applyFont="1" applyBorder="1" applyAlignment="1">
      <alignment horizontal="left"/>
    </xf>
    <xf numFmtId="165" fontId="16" fillId="0" borderId="4" xfId="3" applyNumberFormat="1" applyFont="1" applyBorder="1" applyAlignment="1">
      <alignment horizontal="center"/>
    </xf>
    <xf numFmtId="165" fontId="16" fillId="0" borderId="4" xfId="1" applyNumberFormat="1" applyFont="1" applyBorder="1" applyAlignment="1">
      <alignment horizontal="center"/>
    </xf>
    <xf numFmtId="0" fontId="20" fillId="0" borderId="0" xfId="2" applyFont="1"/>
    <xf numFmtId="166" fontId="16" fillId="0" borderId="1" xfId="3" applyNumberFormat="1" applyFont="1" applyBorder="1" applyAlignment="1">
      <alignment horizontal="center"/>
    </xf>
    <xf numFmtId="166" fontId="16" fillId="0" borderId="4" xfId="3" applyNumberFormat="1" applyFont="1" applyBorder="1" applyAlignment="1">
      <alignment horizontal="center"/>
    </xf>
    <xf numFmtId="166" fontId="16" fillId="0" borderId="4" xfId="3" applyNumberFormat="1" applyFont="1" applyBorder="1" applyAlignment="1">
      <alignment horizontal="left"/>
    </xf>
    <xf numFmtId="0" fontId="16" fillId="0" borderId="4" xfId="3" applyFont="1" applyBorder="1" applyAlignment="1">
      <alignment horizontal="center"/>
    </xf>
    <xf numFmtId="165" fontId="16" fillId="0" borderId="4" xfId="1" applyNumberFormat="1" applyFont="1" applyFill="1" applyBorder="1" applyAlignment="1">
      <alignment horizontal="center"/>
    </xf>
    <xf numFmtId="166" fontId="5" fillId="0" borderId="1" xfId="3" applyNumberFormat="1" applyFont="1" applyBorder="1" applyAlignment="1">
      <alignment horizontal="center"/>
    </xf>
    <xf numFmtId="166" fontId="5" fillId="0" borderId="3" xfId="3" applyNumberFormat="1" applyFont="1" applyBorder="1" applyAlignment="1">
      <alignment horizontal="center"/>
    </xf>
    <xf numFmtId="166" fontId="5" fillId="0" borderId="2" xfId="3" applyNumberFormat="1" applyFont="1" applyBorder="1" applyAlignment="1">
      <alignment horizontal="center"/>
    </xf>
    <xf numFmtId="165" fontId="5" fillId="0" borderId="4" xfId="3" applyNumberFormat="1" applyFont="1" applyBorder="1" applyAlignment="1">
      <alignment horizontal="center"/>
    </xf>
    <xf numFmtId="165" fontId="5" fillId="2" borderId="4" xfId="3" applyNumberFormat="1" applyFont="1" applyFill="1" applyBorder="1" applyAlignment="1">
      <alignment horizontal="center"/>
    </xf>
    <xf numFmtId="43" fontId="20" fillId="0" borderId="0" xfId="1" applyFont="1"/>
    <xf numFmtId="0" fontId="5" fillId="0" borderId="4" xfId="3" applyFont="1" applyBorder="1" applyAlignment="1">
      <alignment horizontal="left"/>
    </xf>
    <xf numFmtId="165" fontId="5" fillId="0" borderId="1" xfId="3" applyNumberFormat="1" applyFont="1" applyBorder="1" applyAlignment="1">
      <alignment horizontal="center"/>
    </xf>
    <xf numFmtId="44" fontId="5" fillId="2" borderId="4" xfId="3" applyNumberFormat="1" applyFont="1" applyFill="1" applyBorder="1" applyAlignment="1">
      <alignment horizontal="center"/>
    </xf>
    <xf numFmtId="14" fontId="16" fillId="0" borderId="1" xfId="3" applyNumberFormat="1" applyFont="1" applyBorder="1" applyAlignment="1">
      <alignment horizontal="center"/>
    </xf>
    <xf numFmtId="0" fontId="5" fillId="0" borderId="3" xfId="3" applyFont="1" applyBorder="1" applyAlignment="1">
      <alignment horizontal="left"/>
    </xf>
    <xf numFmtId="165" fontId="5" fillId="0" borderId="3" xfId="3" applyNumberFormat="1" applyFont="1" applyBorder="1" applyAlignment="1">
      <alignment horizontal="center"/>
    </xf>
    <xf numFmtId="0" fontId="16" fillId="0" borderId="3" xfId="3" applyFont="1" applyBorder="1" applyAlignment="1">
      <alignment horizontal="left"/>
    </xf>
    <xf numFmtId="0" fontId="19" fillId="0" borderId="7" xfId="3" applyFont="1" applyBorder="1" applyAlignment="1">
      <alignment horizontal="left"/>
    </xf>
    <xf numFmtId="0" fontId="16" fillId="0" borderId="8" xfId="3" applyFont="1" applyBorder="1" applyAlignment="1">
      <alignment horizontal="left"/>
    </xf>
    <xf numFmtId="165" fontId="16" fillId="0" borderId="0" xfId="3" applyNumberFormat="1" applyFont="1" applyAlignment="1">
      <alignment horizontal="center"/>
    </xf>
    <xf numFmtId="165" fontId="16" fillId="0" borderId="5" xfId="3" applyNumberFormat="1" applyFont="1" applyBorder="1" applyAlignment="1">
      <alignment horizontal="center"/>
    </xf>
    <xf numFmtId="165" fontId="16" fillId="0" borderId="9" xfId="3" applyNumberFormat="1" applyFont="1" applyBorder="1" applyAlignment="1">
      <alignment horizontal="center"/>
    </xf>
    <xf numFmtId="0" fontId="19" fillId="0" borderId="7" xfId="3" applyFont="1" applyBorder="1"/>
    <xf numFmtId="0" fontId="19" fillId="0" borderId="4" xfId="3" applyFont="1" applyBorder="1"/>
    <xf numFmtId="0" fontId="19" fillId="0" borderId="8" xfId="3" applyFont="1" applyBorder="1"/>
    <xf numFmtId="0" fontId="19" fillId="0" borderId="0" xfId="3" applyFont="1"/>
    <xf numFmtId="0" fontId="16" fillId="0" borderId="4" xfId="3" applyFont="1" applyBorder="1" applyAlignment="1">
      <alignment horizontal="left" wrapText="1"/>
    </xf>
    <xf numFmtId="166" fontId="5" fillId="0" borderId="4" xfId="3" applyNumberFormat="1" applyFont="1" applyBorder="1" applyAlignment="1">
      <alignment horizontal="center"/>
    </xf>
    <xf numFmtId="44" fontId="21" fillId="0" borderId="0" xfId="2" applyNumberFormat="1" applyFont="1"/>
    <xf numFmtId="43" fontId="22" fillId="0" borderId="0" xfId="1" applyFont="1"/>
    <xf numFmtId="43" fontId="23" fillId="0" borderId="0" xfId="2" applyNumberFormat="1" applyFont="1"/>
    <xf numFmtId="165" fontId="16" fillId="0" borderId="1" xfId="3" applyNumberFormat="1" applyFont="1" applyBorder="1" applyAlignment="1">
      <alignment horizontal="center"/>
    </xf>
    <xf numFmtId="166" fontId="5" fillId="0" borderId="6" xfId="3" applyNumberFormat="1" applyFont="1" applyBorder="1" applyAlignment="1">
      <alignment horizontal="left"/>
    </xf>
    <xf numFmtId="166" fontId="16" fillId="0" borderId="3" xfId="3" applyNumberFormat="1" applyFont="1" applyBorder="1" applyAlignment="1">
      <alignment horizontal="center"/>
    </xf>
    <xf numFmtId="166" fontId="16" fillId="0" borderId="4" xfId="3" applyNumberFormat="1" applyFont="1" applyBorder="1" applyAlignment="1">
      <alignment horizontal="left" wrapText="1"/>
    </xf>
    <xf numFmtId="165" fontId="16" fillId="0" borderId="3" xfId="3" applyNumberFormat="1" applyFont="1" applyBorder="1" applyAlignment="1">
      <alignment horizontal="center"/>
    </xf>
    <xf numFmtId="165" fontId="16" fillId="0" borderId="2" xfId="3" applyNumberFormat="1" applyFont="1" applyBorder="1" applyAlignment="1">
      <alignment horizontal="center"/>
    </xf>
    <xf numFmtId="166" fontId="16" fillId="0" borderId="3" xfId="3" applyNumberFormat="1" applyFont="1" applyBorder="1" applyAlignment="1">
      <alignment horizontal="left" wrapText="1"/>
    </xf>
    <xf numFmtId="165" fontId="16" fillId="0" borderId="1" xfId="1" applyNumberFormat="1" applyFont="1" applyFill="1" applyBorder="1" applyAlignment="1">
      <alignment horizontal="center"/>
    </xf>
    <xf numFmtId="165" fontId="16" fillId="0" borderId="10" xfId="1" applyNumberFormat="1" applyFont="1" applyFill="1" applyBorder="1" applyAlignment="1">
      <alignment horizontal="center"/>
    </xf>
    <xf numFmtId="4" fontId="2" fillId="0" borderId="0" xfId="2" applyNumberFormat="1" applyFont="1" applyAlignment="1">
      <alignment horizontal="right"/>
    </xf>
    <xf numFmtId="44" fontId="2" fillId="0" borderId="0" xfId="2" applyNumberFormat="1" applyFont="1"/>
    <xf numFmtId="0" fontId="16" fillId="0" borderId="3" xfId="3" applyFont="1" applyBorder="1" applyAlignment="1">
      <alignment horizontal="center"/>
    </xf>
    <xf numFmtId="0" fontId="16" fillId="0" borderId="2" xfId="3" applyFont="1" applyBorder="1" applyAlignment="1">
      <alignment horizontal="left"/>
    </xf>
    <xf numFmtId="165" fontId="16" fillId="0" borderId="7" xfId="1" applyNumberFormat="1" applyFont="1" applyBorder="1" applyAlignment="1">
      <alignment horizontal="center"/>
    </xf>
    <xf numFmtId="0" fontId="16" fillId="0" borderId="1" xfId="3" applyFont="1" applyBorder="1" applyAlignment="1">
      <alignment horizontal="left"/>
    </xf>
    <xf numFmtId="0" fontId="2" fillId="0" borderId="11" xfId="2" applyFont="1" applyBorder="1"/>
    <xf numFmtId="0" fontId="2" fillId="0" borderId="12" xfId="2" applyFont="1" applyBorder="1"/>
    <xf numFmtId="0" fontId="2" fillId="0" borderId="13" xfId="2" applyFont="1" applyBorder="1"/>
    <xf numFmtId="14" fontId="16" fillId="0" borderId="4" xfId="3" applyNumberFormat="1" applyFont="1" applyBorder="1" applyAlignment="1">
      <alignment horizontal="center"/>
    </xf>
    <xf numFmtId="0" fontId="16" fillId="0" borderId="2" xfId="3" applyFont="1" applyBorder="1" applyAlignment="1">
      <alignment horizontal="left" wrapText="1"/>
    </xf>
    <xf numFmtId="0" fontId="16" fillId="0" borderId="2" xfId="3" applyFont="1" applyBorder="1" applyAlignment="1">
      <alignment horizontal="center"/>
    </xf>
    <xf numFmtId="165" fontId="16" fillId="0" borderId="10" xfId="1" applyNumberFormat="1" applyFont="1" applyBorder="1" applyAlignment="1">
      <alignment horizontal="center"/>
    </xf>
    <xf numFmtId="166" fontId="16" fillId="0" borderId="14" xfId="3" applyNumberFormat="1" applyFont="1" applyBorder="1" applyAlignment="1">
      <alignment horizontal="center"/>
    </xf>
    <xf numFmtId="166" fontId="16" fillId="0" borderId="6" xfId="3" applyNumberFormat="1" applyFont="1" applyBorder="1" applyAlignment="1">
      <alignment horizontal="center"/>
    </xf>
    <xf numFmtId="166" fontId="16" fillId="0" borderId="15" xfId="3" applyNumberFormat="1" applyFont="1" applyBorder="1" applyAlignment="1">
      <alignment horizontal="center"/>
    </xf>
    <xf numFmtId="166" fontId="16" fillId="0" borderId="7" xfId="3" applyNumberFormat="1" applyFont="1" applyBorder="1" applyAlignment="1">
      <alignment horizontal="center"/>
    </xf>
    <xf numFmtId="166" fontId="16" fillId="0" borderId="8" xfId="3" applyNumberFormat="1" applyFont="1" applyBorder="1" applyAlignment="1">
      <alignment horizontal="center"/>
    </xf>
    <xf numFmtId="166" fontId="16" fillId="0" borderId="16" xfId="3" applyNumberFormat="1" applyFont="1" applyBorder="1" applyAlignment="1">
      <alignment horizontal="center"/>
    </xf>
    <xf numFmtId="0" fontId="6" fillId="0" borderId="6" xfId="3" applyFont="1" applyBorder="1"/>
    <xf numFmtId="4" fontId="12" fillId="0" borderId="0" xfId="3" applyNumberFormat="1" applyFont="1"/>
    <xf numFmtId="4" fontId="9" fillId="0" borderId="0" xfId="3" applyNumberFormat="1" applyFont="1"/>
    <xf numFmtId="4" fontId="19" fillId="0" borderId="0" xfId="3" applyNumberFormat="1" applyFont="1"/>
    <xf numFmtId="165" fontId="17" fillId="0" borderId="0" xfId="4" applyNumberFormat="1" applyFont="1"/>
    <xf numFmtId="4" fontId="12" fillId="0" borderId="6" xfId="3" applyNumberFormat="1" applyFont="1" applyBorder="1"/>
    <xf numFmtId="4" fontId="10" fillId="0" borderId="0" xfId="3" applyNumberFormat="1" applyFont="1"/>
    <xf numFmtId="167" fontId="9" fillId="0" borderId="0" xfId="3" applyNumberFormat="1" applyFont="1"/>
    <xf numFmtId="43" fontId="19" fillId="0" borderId="0" xfId="1" applyFont="1"/>
    <xf numFmtId="43" fontId="13" fillId="0" borderId="0" xfId="1" applyFont="1"/>
    <xf numFmtId="165" fontId="9" fillId="0" borderId="0" xfId="3" applyNumberFormat="1" applyFont="1"/>
    <xf numFmtId="43" fontId="16" fillId="0" borderId="0" xfId="2" applyNumberFormat="1" applyFont="1"/>
    <xf numFmtId="165" fontId="24" fillId="0" borderId="0" xfId="3" applyNumberFormat="1" applyFont="1"/>
    <xf numFmtId="43" fontId="25" fillId="0" borderId="0" xfId="1" applyFont="1"/>
    <xf numFmtId="43" fontId="19" fillId="0" borderId="0" xfId="2" applyNumberFormat="1" applyFont="1"/>
    <xf numFmtId="43" fontId="12" fillId="0" borderId="0" xfId="1" applyFont="1"/>
    <xf numFmtId="43" fontId="16" fillId="0" borderId="0" xfId="1" applyFont="1"/>
    <xf numFmtId="43" fontId="6" fillId="0" borderId="0" xfId="1" applyFont="1"/>
    <xf numFmtId="165" fontId="6" fillId="0" borderId="0" xfId="3" applyNumberFormat="1" applyFont="1"/>
    <xf numFmtId="43" fontId="26" fillId="0" borderId="0" xfId="1" applyFont="1"/>
    <xf numFmtId="4" fontId="27" fillId="0" borderId="0" xfId="3" applyNumberFormat="1" applyFont="1"/>
    <xf numFmtId="43" fontId="12" fillId="0" borderId="0" xfId="3" applyNumberFormat="1" applyFont="1"/>
    <xf numFmtId="0" fontId="28" fillId="0" borderId="0" xfId="3" applyFont="1"/>
    <xf numFmtId="165" fontId="13" fillId="0" borderId="0" xfId="1" applyNumberFormat="1" applyFont="1"/>
    <xf numFmtId="0" fontId="7" fillId="0" borderId="0" xfId="3" applyFont="1" applyAlignment="1">
      <alignment horizontal="center" vertical="center" wrapText="1"/>
    </xf>
    <xf numFmtId="4" fontId="7" fillId="0" borderId="0" xfId="3" applyNumberFormat="1" applyFont="1"/>
    <xf numFmtId="44" fontId="7" fillId="0" borderId="0" xfId="3" applyNumberFormat="1" applyFont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21" fillId="0" borderId="0" xfId="3" applyFont="1" applyAlignment="1">
      <alignment horizontal="center" vertical="center" wrapText="1"/>
    </xf>
    <xf numFmtId="0" fontId="10" fillId="0" borderId="0" xfId="3" applyFont="1" applyAlignment="1">
      <alignment horizontal="center" vertical="center" wrapText="1"/>
    </xf>
    <xf numFmtId="43" fontId="10" fillId="0" borderId="0" xfId="1" applyFont="1" applyAlignment="1">
      <alignment horizontal="center" vertical="center" wrapText="1"/>
    </xf>
    <xf numFmtId="43" fontId="6" fillId="0" borderId="0" xfId="3" applyNumberFormat="1" applyFont="1"/>
    <xf numFmtId="0" fontId="10" fillId="0" borderId="0" xfId="3" applyFont="1"/>
    <xf numFmtId="0" fontId="10" fillId="0" borderId="0" xfId="3" applyFont="1" applyAlignment="1">
      <alignment horizontal="center"/>
    </xf>
    <xf numFmtId="43" fontId="10" fillId="0" borderId="0" xfId="1" applyFont="1" applyAlignment="1">
      <alignment horizontal="right"/>
    </xf>
    <xf numFmtId="43" fontId="10" fillId="0" borderId="0" xfId="1" applyFont="1" applyAlignment="1">
      <alignment horizontal="center"/>
    </xf>
    <xf numFmtId="43" fontId="10" fillId="0" borderId="0" xfId="1" applyFont="1" applyAlignment="1">
      <alignment wrapText="1"/>
    </xf>
    <xf numFmtId="0" fontId="11" fillId="0" borderId="0" xfId="2" applyFont="1"/>
    <xf numFmtId="165" fontId="11" fillId="0" borderId="0" xfId="2" applyNumberFormat="1" applyFont="1"/>
    <xf numFmtId="43" fontId="11" fillId="0" borderId="0" xfId="1" applyFont="1"/>
    <xf numFmtId="166" fontId="5" fillId="0" borderId="1" xfId="3" applyNumberFormat="1" applyFont="1" applyBorder="1" applyAlignment="1">
      <alignment horizontal="left"/>
    </xf>
    <xf numFmtId="166" fontId="5" fillId="0" borderId="3" xfId="3" applyNumberFormat="1" applyFont="1" applyBorder="1" applyAlignment="1">
      <alignment horizontal="left"/>
    </xf>
    <xf numFmtId="166" fontId="5" fillId="0" borderId="2" xfId="3" applyNumberFormat="1" applyFont="1" applyBorder="1" applyAlignment="1">
      <alignment horizontal="left"/>
    </xf>
    <xf numFmtId="0" fontId="19" fillId="0" borderId="5" xfId="3" applyFont="1" applyBorder="1" applyAlignment="1">
      <alignment horizontal="center"/>
    </xf>
    <xf numFmtId="0" fontId="19" fillId="0" borderId="10" xfId="3" applyFont="1" applyBorder="1" applyAlignment="1">
      <alignment horizontal="center"/>
    </xf>
    <xf numFmtId="0" fontId="4" fillId="0" borderId="0" xfId="3" applyFont="1" applyAlignment="1">
      <alignment horizontal="center"/>
    </xf>
    <xf numFmtId="166" fontId="5" fillId="0" borderId="1" xfId="3" applyNumberFormat="1" applyFont="1" applyBorder="1" applyAlignment="1">
      <alignment horizontal="center"/>
    </xf>
    <xf numFmtId="166" fontId="5" fillId="0" borderId="3" xfId="3" applyNumberFormat="1" applyFont="1" applyBorder="1" applyAlignment="1">
      <alignment horizontal="center"/>
    </xf>
    <xf numFmtId="166" fontId="5" fillId="0" borderId="2" xfId="3" applyNumberFormat="1" applyFont="1" applyBorder="1" applyAlignment="1">
      <alignment horizontal="center"/>
    </xf>
    <xf numFmtId="0" fontId="5" fillId="2" borderId="1" xfId="3" applyFont="1" applyFill="1" applyBorder="1" applyAlignment="1">
      <alignment horizontal="center"/>
    </xf>
    <xf numFmtId="0" fontId="5" fillId="2" borderId="2" xfId="3" applyFont="1" applyFill="1" applyBorder="1" applyAlignment="1">
      <alignment horizontal="center"/>
    </xf>
    <xf numFmtId="0" fontId="17" fillId="2" borderId="3" xfId="3" applyFont="1" applyFill="1" applyBorder="1" applyAlignment="1">
      <alignment horizontal="center"/>
    </xf>
    <xf numFmtId="0" fontId="17" fillId="2" borderId="2" xfId="3" applyFont="1" applyFill="1" applyBorder="1" applyAlignment="1">
      <alignment horizontal="center"/>
    </xf>
    <xf numFmtId="0" fontId="4" fillId="0" borderId="0" xfId="3" applyFont="1" applyAlignment="1">
      <alignment horizontal="left"/>
    </xf>
  </cellXfs>
  <cellStyles count="5">
    <cellStyle name="Millares" xfId="1" builtinId="3"/>
    <cellStyle name="Normal" xfId="0" builtinId="0"/>
    <cellStyle name="Normal 2" xfId="2" xr:uid="{853D6179-992D-4F82-8C62-610B76EB3D0F}"/>
    <cellStyle name="Normal_Hoja1" xfId="3" xr:uid="{C4D0FC20-DD36-4F1F-9C4D-05360369AEDC}"/>
    <cellStyle name="Normal_Nomina" xfId="4" xr:uid="{F6E62C24-D284-45C1-A744-C9A5BFB452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</xdr:colOff>
      <xdr:row>2</xdr:row>
      <xdr:rowOff>137160</xdr:rowOff>
    </xdr:from>
    <xdr:ext cx="5914571" cy="2358571"/>
    <xdr:pic>
      <xdr:nvPicPr>
        <xdr:cNvPr id="2" name="Imagen 1">
          <a:extLst>
            <a:ext uri="{FF2B5EF4-FFF2-40B4-BE49-F238E27FC236}">
              <a16:creationId xmlns:a16="http://schemas.microsoft.com/office/drawing/2014/main" id="{B404969E-9ED6-468F-BC7D-B64FFE407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08685"/>
          <a:ext cx="5914571" cy="235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E0F3E-4110-4BCA-868E-C31CD848276B}">
  <sheetPr>
    <pageSetUpPr fitToPage="1"/>
  </sheetPr>
  <dimension ref="A1:BV130"/>
  <sheetViews>
    <sheetView tabSelected="1" topLeftCell="G103" zoomScale="40" zoomScaleNormal="40" workbookViewId="0">
      <selection activeCell="L114" sqref="L114"/>
    </sheetView>
  </sheetViews>
  <sheetFormatPr baseColWidth="10" defaultColWidth="11.42578125" defaultRowHeight="13.5" x14ac:dyDescent="0.25"/>
  <cols>
    <col min="1" max="1" width="13" style="1" customWidth="1"/>
    <col min="2" max="3" width="35.140625" style="1" customWidth="1"/>
    <col min="4" max="4" width="35.42578125" style="1" customWidth="1"/>
    <col min="5" max="5" width="119.28515625" style="1" customWidth="1"/>
    <col min="6" max="6" width="177.28515625" style="1" customWidth="1"/>
    <col min="7" max="7" width="36.28515625" style="1" customWidth="1"/>
    <col min="8" max="8" width="68.42578125" style="1" customWidth="1"/>
    <col min="9" max="9" width="48.140625" style="1" customWidth="1"/>
    <col min="10" max="10" width="49.42578125" style="1" customWidth="1"/>
    <col min="11" max="11" width="56.140625" style="1" bestFit="1" customWidth="1"/>
    <col min="12" max="12" width="54.28515625" style="1" customWidth="1"/>
    <col min="13" max="13" width="46.85546875" style="1" customWidth="1"/>
    <col min="14" max="14" width="44.42578125" style="1" bestFit="1" customWidth="1"/>
    <col min="15" max="15" width="46.7109375" style="1" bestFit="1" customWidth="1"/>
    <col min="16" max="17" width="46.85546875" style="1" customWidth="1"/>
    <col min="18" max="18" width="46.7109375" style="1" customWidth="1"/>
    <col min="19" max="19" width="53.85546875" style="1" customWidth="1"/>
    <col min="20" max="20" width="52.85546875" style="1" customWidth="1"/>
    <col min="21" max="21" width="40.7109375" style="1" customWidth="1"/>
    <col min="22" max="22" width="44.42578125" style="1" customWidth="1"/>
    <col min="23" max="23" width="40.42578125" style="1" customWidth="1"/>
    <col min="24" max="5255" width="11.42578125" style="1"/>
    <col min="5256" max="5262" width="26" style="1" customWidth="1"/>
    <col min="5263" max="16384" width="11.42578125" style="1"/>
  </cols>
  <sheetData>
    <row r="1" spans="1:30" ht="37.5" customHeight="1" x14ac:dyDescent="0.25"/>
    <row r="2" spans="1:30" ht="23.45" customHeight="1" x14ac:dyDescent="0.4">
      <c r="D2" s="2"/>
      <c r="E2" s="2"/>
      <c r="F2" s="2"/>
      <c r="G2" s="2"/>
      <c r="H2" s="3"/>
      <c r="I2" s="2"/>
      <c r="J2" s="2"/>
      <c r="K2" s="2"/>
      <c r="L2" s="4"/>
      <c r="M2" s="2"/>
      <c r="N2" s="2"/>
      <c r="O2" s="2"/>
      <c r="P2" s="2"/>
      <c r="Q2" s="2"/>
      <c r="R2" s="2"/>
      <c r="S2" s="2"/>
    </row>
    <row r="3" spans="1:30" ht="34.9" customHeight="1" x14ac:dyDescent="0.4">
      <c r="D3" s="2"/>
      <c r="E3" s="2"/>
      <c r="F3" s="2"/>
      <c r="G3" s="2"/>
      <c r="H3" s="5"/>
      <c r="I3" s="6"/>
      <c r="J3" s="5"/>
      <c r="K3" s="2"/>
      <c r="L3" s="4"/>
      <c r="M3" s="2"/>
      <c r="N3" s="2"/>
      <c r="O3" s="2"/>
      <c r="P3" s="2"/>
      <c r="Q3" s="2"/>
      <c r="R3" s="2"/>
      <c r="S3" s="2"/>
      <c r="T3" s="5"/>
    </row>
    <row r="4" spans="1:30" ht="34.9" customHeight="1" x14ac:dyDescent="0.4">
      <c r="D4" s="2"/>
      <c r="E4" s="2"/>
      <c r="F4" s="6" t="s">
        <v>0</v>
      </c>
      <c r="G4" s="2"/>
      <c r="H4" s="7"/>
      <c r="I4" s="6"/>
      <c r="J4" s="5"/>
      <c r="K4" s="2"/>
      <c r="L4" s="4"/>
      <c r="M4" s="2"/>
      <c r="N4" s="2"/>
      <c r="O4" s="2"/>
      <c r="P4" s="2"/>
      <c r="Q4" s="2"/>
      <c r="R4" s="2"/>
      <c r="S4" s="2"/>
      <c r="T4" s="5"/>
    </row>
    <row r="5" spans="1:30" ht="37.5" customHeight="1" x14ac:dyDescent="0.4">
      <c r="D5" s="8"/>
      <c r="E5" s="8"/>
      <c r="F5" s="9" t="s">
        <v>1</v>
      </c>
      <c r="G5" s="8"/>
      <c r="H5" s="5"/>
      <c r="I5" s="10"/>
      <c r="J5" s="5"/>
      <c r="K5" s="8"/>
      <c r="L5" s="11"/>
      <c r="M5" s="8"/>
      <c r="N5" s="8"/>
      <c r="O5" s="8"/>
      <c r="P5" s="8"/>
      <c r="Q5" s="8"/>
      <c r="R5" s="8"/>
      <c r="S5" s="8"/>
      <c r="T5" s="12"/>
    </row>
    <row r="6" spans="1:30" ht="37.5" customHeight="1" x14ac:dyDescent="0.4">
      <c r="D6" s="13"/>
      <c r="E6" s="13"/>
      <c r="F6" s="10" t="s">
        <v>2</v>
      </c>
      <c r="G6" s="13"/>
      <c r="H6" s="13"/>
      <c r="I6" s="13"/>
      <c r="J6" s="13"/>
      <c r="K6" s="13"/>
      <c r="L6" s="14"/>
      <c r="M6" s="13"/>
      <c r="N6" s="13"/>
      <c r="O6" s="13"/>
      <c r="P6" s="13"/>
      <c r="Q6" s="13"/>
      <c r="R6" s="13"/>
      <c r="S6" s="13"/>
      <c r="T6" s="15"/>
    </row>
    <row r="7" spans="1:30" ht="37.5" customHeight="1" x14ac:dyDescent="0.4">
      <c r="D7" s="10"/>
      <c r="E7" s="10"/>
      <c r="F7" s="10"/>
      <c r="G7" s="10"/>
      <c r="H7" s="16"/>
      <c r="I7" s="10"/>
      <c r="J7" s="17"/>
      <c r="L7" s="18"/>
      <c r="M7" s="10"/>
      <c r="N7" s="10"/>
      <c r="O7" s="19"/>
      <c r="P7" s="19"/>
      <c r="Q7" s="19"/>
      <c r="R7" s="19"/>
      <c r="S7" s="10"/>
      <c r="T7" s="20"/>
    </row>
    <row r="8" spans="1:30" ht="37.5" customHeight="1" thickBot="1" x14ac:dyDescent="0.45">
      <c r="D8" s="5"/>
      <c r="E8" s="5"/>
      <c r="F8" s="5"/>
      <c r="G8" s="5"/>
      <c r="H8" s="16"/>
      <c r="I8" s="21"/>
      <c r="J8" s="22"/>
      <c r="K8" s="5"/>
      <c r="L8" s="23"/>
      <c r="M8" s="24"/>
      <c r="N8" s="24"/>
      <c r="O8" s="25"/>
      <c r="P8" s="19"/>
      <c r="Q8" s="19"/>
      <c r="R8" s="19"/>
      <c r="S8" s="5"/>
      <c r="T8" s="26"/>
    </row>
    <row r="9" spans="1:30" ht="37.5" customHeight="1" thickBot="1" x14ac:dyDescent="0.45">
      <c r="D9" s="27"/>
      <c r="E9" s="28"/>
      <c r="F9" s="28"/>
      <c r="G9" s="28"/>
      <c r="H9" s="29" t="s">
        <v>3</v>
      </c>
      <c r="I9" s="155" t="s">
        <v>4</v>
      </c>
      <c r="J9" s="156"/>
      <c r="K9" s="157" t="s">
        <v>5</v>
      </c>
      <c r="L9" s="157"/>
      <c r="M9" s="157"/>
      <c r="N9" s="157"/>
      <c r="O9" s="157"/>
      <c r="P9" s="158"/>
      <c r="Q9" s="30"/>
      <c r="R9" s="31"/>
      <c r="T9" s="20"/>
    </row>
    <row r="10" spans="1:30" ht="126.6" customHeight="1" thickBot="1" x14ac:dyDescent="0.3">
      <c r="A10" s="32" t="s">
        <v>6</v>
      </c>
      <c r="B10" s="32" t="s">
        <v>7</v>
      </c>
      <c r="C10" s="32" t="s">
        <v>8</v>
      </c>
      <c r="D10" s="32" t="s">
        <v>9</v>
      </c>
      <c r="E10" s="32" t="s">
        <v>10</v>
      </c>
      <c r="F10" s="33" t="s">
        <v>11</v>
      </c>
      <c r="G10" s="33" t="s">
        <v>12</v>
      </c>
      <c r="H10" s="33" t="s">
        <v>13</v>
      </c>
      <c r="I10" s="34" t="s">
        <v>14</v>
      </c>
      <c r="J10" s="33" t="s">
        <v>15</v>
      </c>
      <c r="K10" s="33" t="s">
        <v>16</v>
      </c>
      <c r="L10" s="33" t="s">
        <v>17</v>
      </c>
      <c r="M10" s="35" t="s">
        <v>18</v>
      </c>
      <c r="N10" s="32" t="s">
        <v>19</v>
      </c>
      <c r="O10" s="34" t="s">
        <v>20</v>
      </c>
      <c r="P10" s="36" t="s">
        <v>21</v>
      </c>
      <c r="Q10" s="36" t="s">
        <v>22</v>
      </c>
      <c r="R10" s="36" t="s">
        <v>23</v>
      </c>
      <c r="S10" s="33" t="s">
        <v>24</v>
      </c>
      <c r="T10" s="32" t="s">
        <v>25</v>
      </c>
    </row>
    <row r="11" spans="1:30" ht="48.6" customHeight="1" thickBot="1" x14ac:dyDescent="0.45">
      <c r="A11" s="37"/>
      <c r="B11" s="146" t="s">
        <v>26</v>
      </c>
      <c r="C11" s="147"/>
      <c r="D11" s="147"/>
      <c r="E11" s="148"/>
      <c r="F11" s="41"/>
      <c r="G11" s="42"/>
      <c r="H11" s="43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AD11" s="45"/>
    </row>
    <row r="12" spans="1:30" ht="48" customHeight="1" thickBot="1" x14ac:dyDescent="0.45">
      <c r="A12" s="37">
        <v>1</v>
      </c>
      <c r="B12" s="46" t="s">
        <v>27</v>
      </c>
      <c r="C12" s="46">
        <v>45665</v>
      </c>
      <c r="D12" s="47" t="s">
        <v>28</v>
      </c>
      <c r="E12" s="48" t="s">
        <v>29</v>
      </c>
      <c r="F12" s="48" t="s">
        <v>30</v>
      </c>
      <c r="G12" s="49" t="s">
        <v>31</v>
      </c>
      <c r="H12" s="43">
        <v>225000</v>
      </c>
      <c r="I12" s="44">
        <f t="shared" ref="I12:I13" si="0">+H12*2.87%</f>
        <v>6457.5</v>
      </c>
      <c r="J12" s="44">
        <f>H12*3.04%</f>
        <v>6840</v>
      </c>
      <c r="K12" s="44">
        <f>H12-I12-J12</f>
        <v>211702.5</v>
      </c>
      <c r="L12" s="50">
        <v>41508.49</v>
      </c>
      <c r="M12" s="44"/>
      <c r="N12" s="44"/>
      <c r="O12" s="44">
        <v>25</v>
      </c>
      <c r="P12" s="44"/>
      <c r="Q12" s="44"/>
      <c r="R12" s="44"/>
      <c r="S12" s="44">
        <f>I12+J12+L12+N12+O12+P12+Q12</f>
        <v>54830.99</v>
      </c>
      <c r="T12" s="43">
        <f>H12-S12</f>
        <v>170169.01</v>
      </c>
    </row>
    <row r="13" spans="1:30" ht="48" customHeight="1" thickBot="1" x14ac:dyDescent="0.45">
      <c r="A13" s="37">
        <v>2</v>
      </c>
      <c r="B13" s="46">
        <v>44199</v>
      </c>
      <c r="C13" s="46">
        <v>45665</v>
      </c>
      <c r="D13" s="47" t="s">
        <v>28</v>
      </c>
      <c r="E13" s="48" t="s">
        <v>32</v>
      </c>
      <c r="F13" s="48" t="s">
        <v>33</v>
      </c>
      <c r="G13" s="49" t="s">
        <v>31</v>
      </c>
      <c r="H13" s="43">
        <v>77000</v>
      </c>
      <c r="I13" s="44">
        <f t="shared" si="0"/>
        <v>2209.9</v>
      </c>
      <c r="J13" s="44">
        <f>H13*3.04%</f>
        <v>2340.8000000000002</v>
      </c>
      <c r="K13" s="44">
        <f>H13-I13-J13</f>
        <v>72449.3</v>
      </c>
      <c r="L13" s="50">
        <f>6301.78</f>
        <v>6301.78</v>
      </c>
      <c r="M13" s="44"/>
      <c r="N13" s="44">
        <v>1919.78</v>
      </c>
      <c r="O13" s="44">
        <f>25</f>
        <v>25</v>
      </c>
      <c r="P13" s="44"/>
      <c r="Q13" s="44">
        <v>0</v>
      </c>
      <c r="R13" s="44">
        <v>0</v>
      </c>
      <c r="S13" s="44">
        <f t="shared" ref="S13" si="1">I13+J13+L13+N13+O13+P13+Q13</f>
        <v>12797.26</v>
      </c>
      <c r="T13" s="43">
        <f t="shared" ref="T13" si="2">H13-S13</f>
        <v>64202.74</v>
      </c>
    </row>
    <row r="14" spans="1:30" ht="35.450000000000003" customHeight="1" thickBot="1" x14ac:dyDescent="0.45">
      <c r="A14" s="37"/>
      <c r="B14" s="152" t="s">
        <v>34</v>
      </c>
      <c r="C14" s="153"/>
      <c r="D14" s="153"/>
      <c r="E14" s="153"/>
      <c r="F14" s="154"/>
      <c r="G14" s="54"/>
      <c r="H14" s="55">
        <f t="shared" ref="H14:T14" si="3">SUM(H12:H13)</f>
        <v>302000</v>
      </c>
      <c r="I14" s="55">
        <f t="shared" si="3"/>
        <v>8667.4</v>
      </c>
      <c r="J14" s="55">
        <f t="shared" si="3"/>
        <v>9180.7999999999993</v>
      </c>
      <c r="K14" s="55">
        <f t="shared" si="3"/>
        <v>284151.8</v>
      </c>
      <c r="L14" s="55">
        <f t="shared" si="3"/>
        <v>47810.27</v>
      </c>
      <c r="M14" s="55">
        <f t="shared" si="3"/>
        <v>0</v>
      </c>
      <c r="N14" s="55">
        <f t="shared" si="3"/>
        <v>1919.78</v>
      </c>
      <c r="O14" s="55">
        <f t="shared" si="3"/>
        <v>50</v>
      </c>
      <c r="P14" s="55">
        <f t="shared" si="3"/>
        <v>0</v>
      </c>
      <c r="Q14" s="55">
        <f t="shared" si="3"/>
        <v>0</v>
      </c>
      <c r="R14" s="55">
        <f t="shared" si="3"/>
        <v>0</v>
      </c>
      <c r="S14" s="55">
        <f t="shared" si="3"/>
        <v>67628.25</v>
      </c>
      <c r="T14" s="55">
        <f t="shared" si="3"/>
        <v>234371.75</v>
      </c>
      <c r="U14" s="56"/>
    </row>
    <row r="15" spans="1:30" ht="48.6" customHeight="1" thickBot="1" x14ac:dyDescent="0.45">
      <c r="A15" s="37"/>
      <c r="B15" s="146" t="s">
        <v>35</v>
      </c>
      <c r="C15" s="147"/>
      <c r="D15" s="147"/>
      <c r="E15" s="148"/>
      <c r="F15" s="42"/>
      <c r="G15" s="42"/>
      <c r="H15" s="43"/>
      <c r="I15" s="44"/>
      <c r="J15" s="44"/>
      <c r="K15" s="44"/>
      <c r="L15" s="50"/>
      <c r="M15" s="50"/>
      <c r="N15" s="44"/>
      <c r="O15" s="44"/>
      <c r="P15" s="44"/>
      <c r="Q15" s="44"/>
      <c r="R15" s="44"/>
      <c r="S15" s="44"/>
      <c r="T15" s="44"/>
    </row>
    <row r="16" spans="1:30" ht="48" customHeight="1" thickBot="1" x14ac:dyDescent="0.45">
      <c r="A16" s="37">
        <v>3</v>
      </c>
      <c r="B16" s="46">
        <v>45660</v>
      </c>
      <c r="C16" s="46">
        <v>45666</v>
      </c>
      <c r="D16" s="47" t="s">
        <v>36</v>
      </c>
      <c r="E16" s="48" t="s">
        <v>37</v>
      </c>
      <c r="F16" s="48" t="s">
        <v>38</v>
      </c>
      <c r="G16" s="49" t="s">
        <v>31</v>
      </c>
      <c r="H16" s="43">
        <v>225000</v>
      </c>
      <c r="I16" s="44">
        <f>H16*2.87%</f>
        <v>6457.5</v>
      </c>
      <c r="J16" s="44">
        <f>H16*3.04%</f>
        <v>6840</v>
      </c>
      <c r="K16" s="44">
        <f>H16-I16-J16</f>
        <v>211702.5</v>
      </c>
      <c r="L16" s="50">
        <v>41508.49</v>
      </c>
      <c r="M16" s="44"/>
      <c r="N16" s="44"/>
      <c r="O16" s="44">
        <v>25</v>
      </c>
      <c r="P16" s="44"/>
      <c r="Q16" s="44"/>
      <c r="R16" s="44">
        <v>0</v>
      </c>
      <c r="S16" s="44">
        <f>I16+J16+L16+N16+O16+P16+R16+Q16</f>
        <v>54830.99</v>
      </c>
      <c r="T16" s="43">
        <f t="shared" ref="T16:T19" si="4">H16-S16</f>
        <v>170169.01</v>
      </c>
    </row>
    <row r="17" spans="1:20" ht="48" customHeight="1" thickBot="1" x14ac:dyDescent="0.45">
      <c r="A17" s="37">
        <v>4</v>
      </c>
      <c r="B17" s="46" t="s">
        <v>39</v>
      </c>
      <c r="C17" s="46" t="s">
        <v>40</v>
      </c>
      <c r="D17" s="47" t="s">
        <v>28</v>
      </c>
      <c r="E17" s="48" t="s">
        <v>41</v>
      </c>
      <c r="F17" s="48" t="s">
        <v>42</v>
      </c>
      <c r="G17" s="49" t="s">
        <v>31</v>
      </c>
      <c r="H17" s="43">
        <v>135000</v>
      </c>
      <c r="I17" s="44">
        <f>H17*2.87%</f>
        <v>3874.5</v>
      </c>
      <c r="J17" s="44">
        <f>H17*3.04%</f>
        <v>4104</v>
      </c>
      <c r="K17" s="44">
        <f>H17-I17-J17</f>
        <v>127021.5</v>
      </c>
      <c r="L17" s="50">
        <v>20338.240000000002</v>
      </c>
      <c r="M17" s="44"/>
      <c r="N17" s="44"/>
      <c r="O17" s="44">
        <f>25</f>
        <v>25</v>
      </c>
      <c r="P17" s="44"/>
      <c r="Q17" s="44">
        <v>0</v>
      </c>
      <c r="R17" s="44"/>
      <c r="S17" s="44">
        <f t="shared" ref="S17:S19" si="5">I17+J17+L17+N17+O17+P17+R17+Q17</f>
        <v>28341.74</v>
      </c>
      <c r="T17" s="43">
        <f t="shared" si="4"/>
        <v>106658.26</v>
      </c>
    </row>
    <row r="18" spans="1:20" ht="48" customHeight="1" thickBot="1" x14ac:dyDescent="0.45">
      <c r="A18" s="37">
        <v>5</v>
      </c>
      <c r="B18" s="46">
        <v>44928</v>
      </c>
      <c r="C18" s="46">
        <v>45665</v>
      </c>
      <c r="D18" s="47" t="s">
        <v>28</v>
      </c>
      <c r="E18" s="48" t="s">
        <v>43</v>
      </c>
      <c r="F18" s="48" t="s">
        <v>44</v>
      </c>
      <c r="G18" s="49" t="s">
        <v>31</v>
      </c>
      <c r="H18" s="43">
        <v>82000</v>
      </c>
      <c r="I18" s="44">
        <f>H18*2.87%</f>
        <v>2353.4</v>
      </c>
      <c r="J18" s="44">
        <f>H18*3.04%</f>
        <v>2492.8000000000002</v>
      </c>
      <c r="K18" s="44">
        <f>H18-I18-J18</f>
        <v>77153.8</v>
      </c>
      <c r="L18" s="50">
        <v>7871.32</v>
      </c>
      <c r="M18" s="44"/>
      <c r="N18" s="44"/>
      <c r="O18" s="44">
        <v>25</v>
      </c>
      <c r="P18" s="44"/>
      <c r="Q18" s="44">
        <v>0</v>
      </c>
      <c r="R18" s="44"/>
      <c r="S18" s="44">
        <f t="shared" si="5"/>
        <v>12742.52</v>
      </c>
      <c r="T18" s="43">
        <f t="shared" si="4"/>
        <v>69257.48</v>
      </c>
    </row>
    <row r="19" spans="1:20" ht="48" customHeight="1" thickBot="1" x14ac:dyDescent="0.45">
      <c r="A19" s="37">
        <v>6</v>
      </c>
      <c r="B19" s="46">
        <v>45663</v>
      </c>
      <c r="C19" s="46">
        <v>45669</v>
      </c>
      <c r="D19" s="47" t="s">
        <v>28</v>
      </c>
      <c r="E19" s="48" t="s">
        <v>45</v>
      </c>
      <c r="F19" s="48" t="s">
        <v>44</v>
      </c>
      <c r="G19" s="49" t="s">
        <v>31</v>
      </c>
      <c r="H19" s="43">
        <v>50000</v>
      </c>
      <c r="I19" s="44">
        <f>H19*2.87%</f>
        <v>1435</v>
      </c>
      <c r="J19" s="44">
        <f>H19*3.04%</f>
        <v>1520</v>
      </c>
      <c r="K19" s="44">
        <f>H19-I19-J19</f>
        <v>47045</v>
      </c>
      <c r="L19" s="50">
        <f>1854-1854</f>
        <v>0</v>
      </c>
      <c r="M19" s="44">
        <v>1854</v>
      </c>
      <c r="N19" s="44"/>
      <c r="O19" s="44">
        <v>25</v>
      </c>
      <c r="P19" s="44"/>
      <c r="Q19" s="44"/>
      <c r="R19" s="44"/>
      <c r="S19" s="44">
        <f t="shared" si="5"/>
        <v>2980</v>
      </c>
      <c r="T19" s="43">
        <f t="shared" si="4"/>
        <v>47020</v>
      </c>
    </row>
    <row r="20" spans="1:20" ht="39.6" customHeight="1" thickBot="1" x14ac:dyDescent="0.45">
      <c r="A20" s="37"/>
      <c r="B20" s="152" t="s">
        <v>46</v>
      </c>
      <c r="C20" s="153"/>
      <c r="D20" s="153"/>
      <c r="E20" s="153"/>
      <c r="F20" s="154"/>
      <c r="G20" s="57"/>
      <c r="H20" s="55">
        <f>SUM(H16:H19)</f>
        <v>492000</v>
      </c>
      <c r="I20" s="55">
        <f t="shared" ref="I20:S20" si="6">SUM(I16:I19)</f>
        <v>14120.4</v>
      </c>
      <c r="J20" s="55">
        <f>SUM(J16:J19)</f>
        <v>14956.8</v>
      </c>
      <c r="K20" s="55">
        <f t="shared" si="6"/>
        <v>462922.8</v>
      </c>
      <c r="L20" s="55">
        <f>SUM(L16:L19)</f>
        <v>69718.049999999988</v>
      </c>
      <c r="M20" s="55">
        <f t="shared" si="6"/>
        <v>1854</v>
      </c>
      <c r="N20" s="55">
        <f t="shared" si="6"/>
        <v>0</v>
      </c>
      <c r="O20" s="55">
        <f>SUM(O16:O19)</f>
        <v>100</v>
      </c>
      <c r="P20" s="55">
        <f t="shared" si="6"/>
        <v>0</v>
      </c>
      <c r="Q20" s="55">
        <f t="shared" si="6"/>
        <v>0</v>
      </c>
      <c r="R20" s="55">
        <f t="shared" si="6"/>
        <v>0</v>
      </c>
      <c r="S20" s="55">
        <f t="shared" si="6"/>
        <v>98895.25</v>
      </c>
      <c r="T20" s="55">
        <f>SUM(T16:T19)</f>
        <v>393104.75</v>
      </c>
    </row>
    <row r="21" spans="1:20" ht="48.6" customHeight="1" thickBot="1" x14ac:dyDescent="0.45">
      <c r="A21" s="37"/>
      <c r="B21" s="146" t="s">
        <v>47</v>
      </c>
      <c r="C21" s="147"/>
      <c r="D21" s="147"/>
      <c r="E21" s="147"/>
      <c r="F21" s="53"/>
      <c r="G21" s="57"/>
      <c r="H21" s="54"/>
      <c r="I21" s="54"/>
      <c r="J21" s="54"/>
      <c r="K21" s="54"/>
      <c r="L21" s="54"/>
      <c r="M21" s="54"/>
      <c r="N21" s="54"/>
      <c r="O21" s="43"/>
      <c r="P21" s="54"/>
      <c r="Q21" s="58"/>
      <c r="R21" s="58"/>
      <c r="S21" s="58"/>
      <c r="T21" s="54"/>
    </row>
    <row r="22" spans="1:20" ht="48" customHeight="1" thickBot="1" x14ac:dyDescent="0.45">
      <c r="A22" s="37">
        <v>7</v>
      </c>
      <c r="B22" s="46">
        <v>45659</v>
      </c>
      <c r="C22" s="46">
        <v>45665</v>
      </c>
      <c r="D22" s="47" t="s">
        <v>36</v>
      </c>
      <c r="E22" s="48" t="s">
        <v>48</v>
      </c>
      <c r="F22" s="48" t="s">
        <v>49</v>
      </c>
      <c r="G22" s="49" t="s">
        <v>31</v>
      </c>
      <c r="H22" s="43">
        <v>200000</v>
      </c>
      <c r="I22" s="44">
        <f t="shared" ref="I22:I30" si="7">H22*2.87%</f>
        <v>5740</v>
      </c>
      <c r="J22" s="44">
        <f>H22*3.04%</f>
        <v>6080</v>
      </c>
      <c r="K22" s="44">
        <f t="shared" ref="K22:K30" si="8">H22-I22-J22</f>
        <v>188180</v>
      </c>
      <c r="L22" s="50">
        <v>35627.870000000003</v>
      </c>
      <c r="M22" s="44"/>
      <c r="N22" s="44"/>
      <c r="O22" s="44">
        <f>25</f>
        <v>25</v>
      </c>
      <c r="P22" s="44"/>
      <c r="Q22" s="44">
        <v>0</v>
      </c>
      <c r="R22" s="44"/>
      <c r="S22" s="44">
        <f>I22+L22+N22+O22+P22+J22+R22+Q22</f>
        <v>47472.87</v>
      </c>
      <c r="T22" s="43">
        <f t="shared" ref="T22:T27" si="9">H22-S22</f>
        <v>152527.13</v>
      </c>
    </row>
    <row r="23" spans="1:20" ht="48" customHeight="1" thickBot="1" x14ac:dyDescent="0.45">
      <c r="A23" s="37">
        <v>8</v>
      </c>
      <c r="B23" s="46">
        <v>45660</v>
      </c>
      <c r="C23" s="46">
        <v>45666</v>
      </c>
      <c r="D23" s="47" t="s">
        <v>36</v>
      </c>
      <c r="E23" s="48" t="s">
        <v>50</v>
      </c>
      <c r="F23" s="48" t="s">
        <v>51</v>
      </c>
      <c r="G23" s="49" t="s">
        <v>52</v>
      </c>
      <c r="H23" s="43">
        <v>130000</v>
      </c>
      <c r="I23" s="44">
        <f t="shared" si="7"/>
        <v>3731</v>
      </c>
      <c r="J23" s="44">
        <f t="shared" ref="J23:J30" si="10">H23*3.04%</f>
        <v>3952</v>
      </c>
      <c r="K23" s="44">
        <f t="shared" si="8"/>
        <v>122317</v>
      </c>
      <c r="L23" s="50">
        <v>19162.189999999999</v>
      </c>
      <c r="M23" s="44"/>
      <c r="N23" s="44"/>
      <c r="O23" s="44">
        <v>25</v>
      </c>
      <c r="P23" s="44"/>
      <c r="Q23" s="44">
        <v>0</v>
      </c>
      <c r="R23" s="44"/>
      <c r="S23" s="44">
        <f t="shared" ref="S23:S30" si="11">I23+L23+N23+O23+P23+J23+R23+Q23</f>
        <v>26870.19</v>
      </c>
      <c r="T23" s="43">
        <f t="shared" si="9"/>
        <v>103129.81</v>
      </c>
    </row>
    <row r="24" spans="1:20" ht="48" customHeight="1" thickBot="1" x14ac:dyDescent="0.45">
      <c r="A24" s="37">
        <v>9</v>
      </c>
      <c r="B24" s="46">
        <v>45597</v>
      </c>
      <c r="C24" s="46">
        <v>46024</v>
      </c>
      <c r="D24" s="47" t="s">
        <v>28</v>
      </c>
      <c r="E24" s="48" t="s">
        <v>53</v>
      </c>
      <c r="F24" s="48" t="s">
        <v>54</v>
      </c>
      <c r="G24" s="49" t="s">
        <v>31</v>
      </c>
      <c r="H24" s="43">
        <v>125000</v>
      </c>
      <c r="I24" s="44">
        <f>+H24*2.87%</f>
        <v>3587.5</v>
      </c>
      <c r="J24" s="44">
        <f t="shared" si="10"/>
        <v>3800</v>
      </c>
      <c r="K24" s="44">
        <f>H24-I24-J24</f>
        <v>117612.5</v>
      </c>
      <c r="L24" s="50">
        <v>17985.990000000002</v>
      </c>
      <c r="M24" s="44"/>
      <c r="N24" s="44"/>
      <c r="O24" s="44">
        <v>25</v>
      </c>
      <c r="P24" s="44"/>
      <c r="Q24" s="44">
        <v>0</v>
      </c>
      <c r="R24" s="44">
        <v>0</v>
      </c>
      <c r="S24" s="44">
        <f t="shared" si="11"/>
        <v>25398.49</v>
      </c>
      <c r="T24" s="43">
        <f t="shared" si="9"/>
        <v>99601.51</v>
      </c>
    </row>
    <row r="25" spans="1:20" ht="48" customHeight="1" thickBot="1" x14ac:dyDescent="0.45">
      <c r="A25" s="37">
        <v>10</v>
      </c>
      <c r="B25" s="46">
        <v>44567</v>
      </c>
      <c r="C25" s="46">
        <v>45664</v>
      </c>
      <c r="D25" s="47" t="s">
        <v>28</v>
      </c>
      <c r="E25" s="48" t="s">
        <v>55</v>
      </c>
      <c r="F25" s="48" t="s">
        <v>56</v>
      </c>
      <c r="G25" s="49" t="s">
        <v>31</v>
      </c>
      <c r="H25" s="43">
        <v>80000</v>
      </c>
      <c r="I25" s="44">
        <f t="shared" si="7"/>
        <v>2296</v>
      </c>
      <c r="J25" s="44">
        <f t="shared" si="10"/>
        <v>2432</v>
      </c>
      <c r="K25" s="44">
        <f t="shared" si="8"/>
        <v>75272</v>
      </c>
      <c r="L25" s="50">
        <v>7400.7</v>
      </c>
      <c r="M25" s="44"/>
      <c r="N25" s="44"/>
      <c r="O25" s="44">
        <f>25</f>
        <v>25</v>
      </c>
      <c r="P25" s="44"/>
      <c r="Q25" s="44"/>
      <c r="R25" s="44"/>
      <c r="S25" s="44">
        <f t="shared" si="11"/>
        <v>12153.7</v>
      </c>
      <c r="T25" s="43">
        <f t="shared" si="9"/>
        <v>67846.3</v>
      </c>
    </row>
    <row r="26" spans="1:20" ht="48" customHeight="1" thickBot="1" x14ac:dyDescent="0.45">
      <c r="A26" s="37">
        <v>11</v>
      </c>
      <c r="B26" s="46">
        <v>45660</v>
      </c>
      <c r="C26" s="46">
        <v>45667</v>
      </c>
      <c r="D26" s="47" t="s">
        <v>28</v>
      </c>
      <c r="E26" s="48" t="s">
        <v>57</v>
      </c>
      <c r="F26" s="48" t="s">
        <v>56</v>
      </c>
      <c r="G26" s="49" t="s">
        <v>31</v>
      </c>
      <c r="H26" s="43">
        <v>70000</v>
      </c>
      <c r="I26" s="44">
        <f t="shared" si="7"/>
        <v>2009</v>
      </c>
      <c r="J26" s="44">
        <f t="shared" si="10"/>
        <v>2128</v>
      </c>
      <c r="K26" s="44">
        <f t="shared" si="8"/>
        <v>65863</v>
      </c>
      <c r="L26" s="50">
        <v>5368.48</v>
      </c>
      <c r="M26" s="44"/>
      <c r="N26" s="44"/>
      <c r="O26" s="44">
        <f>25</f>
        <v>25</v>
      </c>
      <c r="P26" s="44"/>
      <c r="Q26" s="44"/>
      <c r="R26" s="44"/>
      <c r="S26" s="44">
        <f t="shared" si="11"/>
        <v>9530.48</v>
      </c>
      <c r="T26" s="43">
        <f t="shared" si="9"/>
        <v>60469.520000000004</v>
      </c>
    </row>
    <row r="27" spans="1:20" ht="48" customHeight="1" thickBot="1" x14ac:dyDescent="0.45">
      <c r="A27" s="37">
        <v>12</v>
      </c>
      <c r="B27" s="46">
        <v>45662</v>
      </c>
      <c r="C27" s="46">
        <v>45668</v>
      </c>
      <c r="D27" s="47" t="s">
        <v>36</v>
      </c>
      <c r="E27" s="48" t="s">
        <v>58</v>
      </c>
      <c r="F27" s="48" t="s">
        <v>59</v>
      </c>
      <c r="G27" s="49" t="s">
        <v>31</v>
      </c>
      <c r="H27" s="43">
        <v>90000</v>
      </c>
      <c r="I27" s="44">
        <f t="shared" si="7"/>
        <v>2583</v>
      </c>
      <c r="J27" s="44">
        <f t="shared" si="10"/>
        <v>2736</v>
      </c>
      <c r="K27" s="44">
        <f t="shared" si="8"/>
        <v>84681</v>
      </c>
      <c r="L27" s="50">
        <f>9753.12-9753.12</f>
        <v>0</v>
      </c>
      <c r="M27" s="44">
        <v>9753.1200000000008</v>
      </c>
      <c r="N27" s="44"/>
      <c r="O27" s="44">
        <f>25</f>
        <v>25</v>
      </c>
      <c r="P27" s="44"/>
      <c r="Q27" s="44">
        <v>0</v>
      </c>
      <c r="R27" s="44"/>
      <c r="S27" s="44">
        <f t="shared" si="11"/>
        <v>5344</v>
      </c>
      <c r="T27" s="43">
        <f t="shared" si="9"/>
        <v>84656</v>
      </c>
    </row>
    <row r="28" spans="1:20" ht="48" customHeight="1" thickBot="1" x14ac:dyDescent="0.45">
      <c r="A28" s="37">
        <v>13</v>
      </c>
      <c r="B28" s="46" t="s">
        <v>60</v>
      </c>
      <c r="C28" s="46" t="s">
        <v>61</v>
      </c>
      <c r="D28" s="47" t="s">
        <v>28</v>
      </c>
      <c r="E28" s="48" t="s">
        <v>62</v>
      </c>
      <c r="F28" s="48" t="s">
        <v>63</v>
      </c>
      <c r="G28" s="49" t="s">
        <v>31</v>
      </c>
      <c r="H28" s="43">
        <v>70000</v>
      </c>
      <c r="I28" s="44">
        <f t="shared" si="7"/>
        <v>2009</v>
      </c>
      <c r="J28" s="44">
        <f t="shared" si="10"/>
        <v>2128</v>
      </c>
      <c r="K28" s="44">
        <f t="shared" si="8"/>
        <v>65863</v>
      </c>
      <c r="L28" s="50">
        <f>5368.48</f>
        <v>5368.48</v>
      </c>
      <c r="M28" s="44"/>
      <c r="N28" s="44"/>
      <c r="O28" s="44">
        <v>25</v>
      </c>
      <c r="P28" s="44">
        <v>5715.73</v>
      </c>
      <c r="Q28" s="44"/>
      <c r="R28" s="44"/>
      <c r="S28" s="44">
        <f t="shared" si="11"/>
        <v>15246.21</v>
      </c>
      <c r="T28" s="43">
        <f>H28-S28</f>
        <v>54753.79</v>
      </c>
    </row>
    <row r="29" spans="1:20" ht="48" customHeight="1" thickBot="1" x14ac:dyDescent="0.45">
      <c r="A29" s="37">
        <v>14</v>
      </c>
      <c r="B29" s="46">
        <v>44563</v>
      </c>
      <c r="C29" s="46">
        <v>45664</v>
      </c>
      <c r="D29" s="47" t="s">
        <v>28</v>
      </c>
      <c r="E29" s="48" t="s">
        <v>64</v>
      </c>
      <c r="F29" s="48" t="s">
        <v>65</v>
      </c>
      <c r="G29" s="49" t="s">
        <v>31</v>
      </c>
      <c r="H29" s="43">
        <v>60000</v>
      </c>
      <c r="I29" s="44">
        <f t="shared" si="7"/>
        <v>1722</v>
      </c>
      <c r="J29" s="44">
        <f t="shared" si="10"/>
        <v>1824</v>
      </c>
      <c r="K29" s="44">
        <f t="shared" si="8"/>
        <v>56454</v>
      </c>
      <c r="L29" s="50">
        <f>3486.68-3142.69</f>
        <v>343.98999999999978</v>
      </c>
      <c r="M29" s="44">
        <v>3142.69</v>
      </c>
      <c r="N29" s="44"/>
      <c r="O29" s="44">
        <f>25</f>
        <v>25</v>
      </c>
      <c r="P29" s="44"/>
      <c r="Q29" s="44">
        <v>0</v>
      </c>
      <c r="R29" s="44"/>
      <c r="S29" s="44">
        <f t="shared" si="11"/>
        <v>3914.99</v>
      </c>
      <c r="T29" s="43">
        <f t="shared" ref="T29:T30" si="12">H29-S29</f>
        <v>56085.01</v>
      </c>
    </row>
    <row r="30" spans="1:20" ht="48" customHeight="1" thickBot="1" x14ac:dyDescent="0.45">
      <c r="A30" s="37">
        <v>15</v>
      </c>
      <c r="B30" s="46">
        <v>45659</v>
      </c>
      <c r="C30" s="46">
        <v>45665</v>
      </c>
      <c r="D30" s="47" t="s">
        <v>28</v>
      </c>
      <c r="E30" s="48" t="s">
        <v>66</v>
      </c>
      <c r="F30" s="48" t="s">
        <v>65</v>
      </c>
      <c r="G30" s="49" t="s">
        <v>31</v>
      </c>
      <c r="H30" s="43">
        <v>50000</v>
      </c>
      <c r="I30" s="44">
        <f t="shared" si="7"/>
        <v>1435</v>
      </c>
      <c r="J30" s="44">
        <f t="shared" si="10"/>
        <v>1520</v>
      </c>
      <c r="K30" s="44">
        <f t="shared" si="8"/>
        <v>47045</v>
      </c>
      <c r="L30" s="50">
        <f>1854-1854</f>
        <v>0</v>
      </c>
      <c r="M30" s="44">
        <v>1854</v>
      </c>
      <c r="N30" s="44"/>
      <c r="O30" s="44">
        <v>25</v>
      </c>
      <c r="P30" s="44"/>
      <c r="Q30" s="44">
        <v>0</v>
      </c>
      <c r="R30" s="44"/>
      <c r="S30" s="44">
        <f t="shared" si="11"/>
        <v>2980</v>
      </c>
      <c r="T30" s="43">
        <f t="shared" si="12"/>
        <v>47020</v>
      </c>
    </row>
    <row r="31" spans="1:20" ht="48.6" customHeight="1" thickBot="1" x14ac:dyDescent="0.45">
      <c r="A31" s="37"/>
      <c r="B31" s="152" t="s">
        <v>46</v>
      </c>
      <c r="C31" s="153"/>
      <c r="D31" s="153"/>
      <c r="E31" s="153"/>
      <c r="F31" s="154"/>
      <c r="G31" s="57"/>
      <c r="H31" s="59">
        <f t="shared" ref="H31:T31" si="13">SUM(H22:H30)</f>
        <v>875000</v>
      </c>
      <c r="I31" s="59">
        <f t="shared" si="13"/>
        <v>25112.5</v>
      </c>
      <c r="J31" s="59">
        <f t="shared" si="13"/>
        <v>26600</v>
      </c>
      <c r="K31" s="59">
        <f t="shared" si="13"/>
        <v>823287.5</v>
      </c>
      <c r="L31" s="59">
        <f t="shared" si="13"/>
        <v>91257.7</v>
      </c>
      <c r="M31" s="59">
        <f t="shared" si="13"/>
        <v>14749.810000000001</v>
      </c>
      <c r="N31" s="59">
        <f t="shared" si="13"/>
        <v>0</v>
      </c>
      <c r="O31" s="59">
        <f t="shared" si="13"/>
        <v>225</v>
      </c>
      <c r="P31" s="59">
        <f t="shared" si="13"/>
        <v>5715.73</v>
      </c>
      <c r="Q31" s="59">
        <f t="shared" si="13"/>
        <v>0</v>
      </c>
      <c r="R31" s="59">
        <f t="shared" si="13"/>
        <v>0</v>
      </c>
      <c r="S31" s="59">
        <f t="shared" si="13"/>
        <v>148910.93</v>
      </c>
      <c r="T31" s="59">
        <f t="shared" si="13"/>
        <v>726089.07000000007</v>
      </c>
    </row>
    <row r="32" spans="1:20" ht="37.15" customHeight="1" thickBot="1" x14ac:dyDescent="0.45">
      <c r="A32" s="37"/>
      <c r="B32" s="146" t="s">
        <v>67</v>
      </c>
      <c r="C32" s="147"/>
      <c r="D32" s="147"/>
      <c r="E32" s="147"/>
      <c r="F32" s="53"/>
      <c r="G32" s="57"/>
      <c r="H32" s="54"/>
      <c r="I32" s="54"/>
      <c r="J32" s="54"/>
      <c r="K32" s="54"/>
      <c r="L32" s="54"/>
      <c r="M32" s="54"/>
      <c r="N32" s="54"/>
      <c r="O32" s="54"/>
      <c r="P32" s="54"/>
      <c r="Q32" s="58"/>
      <c r="R32" s="58"/>
      <c r="S32" s="58"/>
      <c r="T32" s="54"/>
    </row>
    <row r="33" spans="1:20" ht="48" customHeight="1" thickBot="1" x14ac:dyDescent="0.45">
      <c r="A33" s="37">
        <v>16</v>
      </c>
      <c r="B33" s="46">
        <v>45295</v>
      </c>
      <c r="C33" s="46">
        <v>45668</v>
      </c>
      <c r="D33" s="47" t="s">
        <v>28</v>
      </c>
      <c r="E33" s="48" t="s">
        <v>68</v>
      </c>
      <c r="F33" s="48" t="s">
        <v>69</v>
      </c>
      <c r="G33" s="49" t="s">
        <v>31</v>
      </c>
      <c r="H33" s="43">
        <v>180000</v>
      </c>
      <c r="I33" s="44">
        <f t="shared" ref="I33" si="14">H33*2.87%</f>
        <v>5166</v>
      </c>
      <c r="J33" s="44">
        <f t="shared" ref="J33" si="15">H33*3.04%</f>
        <v>5472</v>
      </c>
      <c r="K33" s="44">
        <f t="shared" ref="K33" si="16">H33-I33-J33</f>
        <v>169362</v>
      </c>
      <c r="L33" s="50">
        <f>30923.37-3327.87</f>
        <v>27595.5</v>
      </c>
      <c r="M33" s="44">
        <v>3327.84</v>
      </c>
      <c r="N33" s="44"/>
      <c r="O33" s="44">
        <v>25</v>
      </c>
      <c r="P33" s="44"/>
      <c r="Q33" s="44"/>
      <c r="R33" s="44"/>
      <c r="S33" s="44">
        <f t="shared" ref="S33" si="17">I33+J33+L33+P33+O33+N33-R33+Q33</f>
        <v>38258.5</v>
      </c>
      <c r="T33" s="43">
        <f>H33-S33</f>
        <v>141741.5</v>
      </c>
    </row>
    <row r="34" spans="1:20" ht="48" customHeight="1" thickBot="1" x14ac:dyDescent="0.45">
      <c r="A34" s="37">
        <v>17</v>
      </c>
      <c r="B34" s="46">
        <v>46028</v>
      </c>
      <c r="C34" s="60">
        <v>46356</v>
      </c>
      <c r="D34" s="47" t="s">
        <v>28</v>
      </c>
      <c r="E34" s="48" t="s">
        <v>70</v>
      </c>
      <c r="F34" s="48" t="s">
        <v>71</v>
      </c>
      <c r="G34" s="49" t="s">
        <v>31</v>
      </c>
      <c r="H34" s="43">
        <v>150000</v>
      </c>
      <c r="I34" s="44">
        <f>H34*2.87%</f>
        <v>4305</v>
      </c>
      <c r="J34" s="44">
        <f>H34*3.04%</f>
        <v>4560</v>
      </c>
      <c r="K34" s="44">
        <f>H34-I34-J34</f>
        <v>141135</v>
      </c>
      <c r="L34" s="50">
        <v>23866.62</v>
      </c>
      <c r="M34" s="44"/>
      <c r="N34" s="44">
        <v>0</v>
      </c>
      <c r="O34" s="44">
        <v>25</v>
      </c>
      <c r="P34" s="44"/>
      <c r="Q34" s="44"/>
      <c r="R34" s="44"/>
      <c r="S34" s="44">
        <f t="shared" ref="S34:S36" si="18">I34+J34+N34+O34+P34+L34-R34+Q34</f>
        <v>32756.62</v>
      </c>
      <c r="T34" s="43">
        <f>H34-S34</f>
        <v>117243.38</v>
      </c>
    </row>
    <row r="35" spans="1:20" ht="48" customHeight="1" thickBot="1" x14ac:dyDescent="0.45">
      <c r="A35" s="37">
        <v>18</v>
      </c>
      <c r="B35" s="46">
        <v>44938</v>
      </c>
      <c r="C35" s="46">
        <v>45664</v>
      </c>
      <c r="D35" s="47" t="s">
        <v>36</v>
      </c>
      <c r="E35" s="48" t="s">
        <v>72</v>
      </c>
      <c r="F35" s="48" t="s">
        <v>73</v>
      </c>
      <c r="G35" s="49" t="s">
        <v>31</v>
      </c>
      <c r="H35" s="43">
        <v>95000</v>
      </c>
      <c r="I35" s="44">
        <f t="shared" ref="I35:I36" si="19">H35*2.87%</f>
        <v>2726.5</v>
      </c>
      <c r="J35" s="44">
        <f t="shared" ref="J35:J36" si="20">H35*3.04%</f>
        <v>2888</v>
      </c>
      <c r="K35" s="44">
        <f t="shared" ref="K35:K36" si="21">H35-I35-J35</f>
        <v>89385.5</v>
      </c>
      <c r="L35" s="50">
        <v>10929.24</v>
      </c>
      <c r="M35" s="44"/>
      <c r="N35" s="44"/>
      <c r="O35" s="44">
        <v>25</v>
      </c>
      <c r="P35" s="44"/>
      <c r="Q35" s="44"/>
      <c r="R35" s="44"/>
      <c r="S35" s="44">
        <f t="shared" si="18"/>
        <v>16568.739999999998</v>
      </c>
      <c r="T35" s="43">
        <f t="shared" ref="T35:T36" si="22">H35-S35</f>
        <v>78431.260000000009</v>
      </c>
    </row>
    <row r="36" spans="1:20" ht="48" customHeight="1" thickBot="1" x14ac:dyDescent="0.45">
      <c r="A36" s="37">
        <v>19</v>
      </c>
      <c r="B36" s="46">
        <v>45661</v>
      </c>
      <c r="C36" s="46">
        <v>45668</v>
      </c>
      <c r="D36" s="47" t="s">
        <v>36</v>
      </c>
      <c r="E36" s="48" t="s">
        <v>74</v>
      </c>
      <c r="F36" s="48" t="s">
        <v>73</v>
      </c>
      <c r="G36" s="49" t="s">
        <v>31</v>
      </c>
      <c r="H36" s="43">
        <v>80000</v>
      </c>
      <c r="I36" s="44">
        <f t="shared" si="19"/>
        <v>2296</v>
      </c>
      <c r="J36" s="44">
        <f t="shared" si="20"/>
        <v>2432</v>
      </c>
      <c r="K36" s="44">
        <f t="shared" si="21"/>
        <v>75272</v>
      </c>
      <c r="L36" s="50">
        <f>7400.87-7400.87</f>
        <v>0</v>
      </c>
      <c r="M36" s="44">
        <v>7400.87</v>
      </c>
      <c r="N36" s="44"/>
      <c r="O36" s="44">
        <v>25</v>
      </c>
      <c r="P36" s="44"/>
      <c r="Q36" s="44"/>
      <c r="R36" s="44"/>
      <c r="S36" s="44">
        <f t="shared" si="18"/>
        <v>4753</v>
      </c>
      <c r="T36" s="43">
        <f t="shared" si="22"/>
        <v>75247</v>
      </c>
    </row>
    <row r="37" spans="1:20" ht="48.6" customHeight="1" thickBot="1" x14ac:dyDescent="0.45">
      <c r="A37" s="37"/>
      <c r="B37" s="152" t="s">
        <v>46</v>
      </c>
      <c r="C37" s="153"/>
      <c r="D37" s="153"/>
      <c r="E37" s="153"/>
      <c r="F37" s="154"/>
      <c r="G37" s="57"/>
      <c r="H37" s="55">
        <f>SUM(H33:H36)</f>
        <v>505000</v>
      </c>
      <c r="I37" s="55">
        <f t="shared" ref="I37:T37" si="23">SUM(I33:I36)</f>
        <v>14493.5</v>
      </c>
      <c r="J37" s="55">
        <f>SUM(J33:J36)</f>
        <v>15352</v>
      </c>
      <c r="K37" s="55">
        <f t="shared" si="23"/>
        <v>475154.5</v>
      </c>
      <c r="L37" s="55">
        <f t="shared" si="23"/>
        <v>62391.359999999993</v>
      </c>
      <c r="M37" s="55">
        <f t="shared" si="23"/>
        <v>10728.71</v>
      </c>
      <c r="N37" s="55">
        <f t="shared" si="23"/>
        <v>0</v>
      </c>
      <c r="O37" s="55">
        <f t="shared" si="23"/>
        <v>100</v>
      </c>
      <c r="P37" s="55">
        <f t="shared" si="23"/>
        <v>0</v>
      </c>
      <c r="Q37" s="55">
        <f t="shared" si="23"/>
        <v>0</v>
      </c>
      <c r="R37" s="55">
        <f t="shared" si="23"/>
        <v>0</v>
      </c>
      <c r="S37" s="55">
        <f t="shared" si="23"/>
        <v>92336.859999999986</v>
      </c>
      <c r="T37" s="55">
        <f t="shared" si="23"/>
        <v>412663.14</v>
      </c>
    </row>
    <row r="38" spans="1:20" ht="48.6" customHeight="1" thickBot="1" x14ac:dyDescent="0.45">
      <c r="A38" s="37"/>
      <c r="B38" s="146" t="s">
        <v>75</v>
      </c>
      <c r="C38" s="147"/>
      <c r="D38" s="147"/>
      <c r="E38" s="148"/>
      <c r="F38" s="53"/>
      <c r="G38" s="57"/>
      <c r="H38" s="54"/>
      <c r="I38" s="54"/>
      <c r="J38" s="54"/>
      <c r="K38" s="54"/>
      <c r="L38" s="54"/>
      <c r="M38" s="54"/>
      <c r="N38" s="54"/>
      <c r="O38" s="43"/>
      <c r="P38" s="54"/>
      <c r="Q38" s="58"/>
      <c r="R38" s="58"/>
      <c r="S38" s="58"/>
      <c r="T38" s="54"/>
    </row>
    <row r="39" spans="1:20" ht="48" customHeight="1" thickBot="1" x14ac:dyDescent="0.45">
      <c r="A39" s="37">
        <v>20</v>
      </c>
      <c r="B39" s="46">
        <v>45659</v>
      </c>
      <c r="C39" s="46">
        <v>46024</v>
      </c>
      <c r="D39" s="47" t="s">
        <v>36</v>
      </c>
      <c r="E39" s="48" t="s">
        <v>76</v>
      </c>
      <c r="F39" s="48" t="s">
        <v>77</v>
      </c>
      <c r="G39" s="49" t="s">
        <v>31</v>
      </c>
      <c r="H39" s="43">
        <v>250000</v>
      </c>
      <c r="I39" s="44">
        <f>H39*2.87%</f>
        <v>7175</v>
      </c>
      <c r="J39" s="44">
        <f>232230*3.04%</f>
        <v>7059.7920000000004</v>
      </c>
      <c r="K39" s="44">
        <f t="shared" ref="K39:K40" si="24">H39-I39-J39</f>
        <v>235765.20800000001</v>
      </c>
      <c r="L39" s="50">
        <v>47524.17</v>
      </c>
      <c r="M39" s="44"/>
      <c r="N39" s="44"/>
      <c r="O39" s="44">
        <v>25</v>
      </c>
      <c r="P39" s="44"/>
      <c r="Q39" s="44">
        <v>0</v>
      </c>
      <c r="R39" s="44">
        <v>0</v>
      </c>
      <c r="S39" s="44">
        <f>I39+J39+N39+O39+P39+L39+Q39</f>
        <v>61783.962</v>
      </c>
      <c r="T39" s="43">
        <f>H39-S39</f>
        <v>188216.038</v>
      </c>
    </row>
    <row r="40" spans="1:20" ht="48" customHeight="1" thickBot="1" x14ac:dyDescent="0.45">
      <c r="A40" s="37">
        <v>21</v>
      </c>
      <c r="B40" s="46">
        <v>44936</v>
      </c>
      <c r="C40" s="46">
        <v>45664</v>
      </c>
      <c r="D40" s="47" t="s">
        <v>28</v>
      </c>
      <c r="E40" s="48" t="s">
        <v>78</v>
      </c>
      <c r="F40" s="48" t="s">
        <v>79</v>
      </c>
      <c r="G40" s="49" t="s">
        <v>31</v>
      </c>
      <c r="H40" s="43">
        <v>95000</v>
      </c>
      <c r="I40" s="44">
        <f t="shared" ref="I40" si="25">H40*2.87%</f>
        <v>2726.5</v>
      </c>
      <c r="J40" s="44">
        <f t="shared" ref="J40" si="26">H40*3.04%</f>
        <v>2888</v>
      </c>
      <c r="K40" s="44">
        <f t="shared" si="24"/>
        <v>89385.5</v>
      </c>
      <c r="L40" s="50">
        <v>10929.24</v>
      </c>
      <c r="M40" s="44"/>
      <c r="N40" s="44"/>
      <c r="O40" s="44">
        <v>25</v>
      </c>
      <c r="P40" s="44"/>
      <c r="Q40" s="44"/>
      <c r="R40" s="44"/>
      <c r="S40" s="44">
        <f>I40+J40+N40+O40+P40+L40+Q40</f>
        <v>16568.739999999998</v>
      </c>
      <c r="T40" s="43">
        <f t="shared" ref="T40" si="27">H40-S40</f>
        <v>78431.260000000009</v>
      </c>
    </row>
    <row r="41" spans="1:20" ht="48" customHeight="1" thickBot="1" x14ac:dyDescent="0.45">
      <c r="A41" s="37">
        <v>22</v>
      </c>
      <c r="B41" s="46">
        <v>45666</v>
      </c>
      <c r="C41" s="46">
        <v>46024</v>
      </c>
      <c r="D41" s="47" t="s">
        <v>36</v>
      </c>
      <c r="E41" s="48" t="s">
        <v>80</v>
      </c>
      <c r="F41" s="48" t="s">
        <v>81</v>
      </c>
      <c r="G41" s="49" t="s">
        <v>31</v>
      </c>
      <c r="H41" s="43">
        <v>75000</v>
      </c>
      <c r="I41" s="44">
        <f>H41*2.87%</f>
        <v>2152.5</v>
      </c>
      <c r="J41" s="44">
        <f>H41*3.04%</f>
        <v>2280</v>
      </c>
      <c r="K41" s="44">
        <f>H41-I41-J41</f>
        <v>70567.5</v>
      </c>
      <c r="L41" s="50">
        <v>6309.38</v>
      </c>
      <c r="M41" s="44"/>
      <c r="N41" s="44"/>
      <c r="O41" s="44">
        <v>25</v>
      </c>
      <c r="P41" s="44"/>
      <c r="Q41" s="44">
        <v>0</v>
      </c>
      <c r="R41" s="44"/>
      <c r="S41" s="44">
        <f>I41+J41+L41+N41+O41+P41+Q41</f>
        <v>10766.880000000001</v>
      </c>
      <c r="T41" s="43">
        <f>H41-S41</f>
        <v>64233.119999999995</v>
      </c>
    </row>
    <row r="42" spans="1:20" ht="48" customHeight="1" thickBot="1" x14ac:dyDescent="0.45">
      <c r="A42" s="37">
        <v>23</v>
      </c>
      <c r="B42" s="46">
        <v>46025</v>
      </c>
      <c r="C42" s="46">
        <v>46030</v>
      </c>
      <c r="D42" s="47" t="s">
        <v>36</v>
      </c>
      <c r="E42" s="48" t="s">
        <v>82</v>
      </c>
      <c r="F42" s="48" t="s">
        <v>83</v>
      </c>
      <c r="G42" s="49" t="s">
        <v>31</v>
      </c>
      <c r="H42" s="43">
        <v>33000</v>
      </c>
      <c r="I42" s="44">
        <f>H42*2.87%</f>
        <v>947.1</v>
      </c>
      <c r="J42" s="44">
        <f>H42*3.04%</f>
        <v>1003.2</v>
      </c>
      <c r="K42" s="44">
        <f>H42-I42-J42</f>
        <v>31049.7</v>
      </c>
      <c r="L42" s="50">
        <v>0</v>
      </c>
      <c r="M42" s="44"/>
      <c r="N42" s="44"/>
      <c r="O42" s="44">
        <v>25</v>
      </c>
      <c r="P42" s="44"/>
      <c r="Q42" s="44">
        <v>0</v>
      </c>
      <c r="R42" s="44"/>
      <c r="S42" s="44">
        <f>I42+J42+L42+N42+O42+P42+Q42</f>
        <v>1975.3000000000002</v>
      </c>
      <c r="T42" s="43">
        <f>H42-S42</f>
        <v>31024.7</v>
      </c>
    </row>
    <row r="43" spans="1:20" ht="48" customHeight="1" thickBot="1" x14ac:dyDescent="0.45">
      <c r="A43" s="37">
        <v>24</v>
      </c>
      <c r="B43" s="46">
        <v>46025</v>
      </c>
      <c r="C43" s="46">
        <v>46030</v>
      </c>
      <c r="D43" s="47" t="s">
        <v>36</v>
      </c>
      <c r="E43" s="48" t="s">
        <v>84</v>
      </c>
      <c r="F43" s="48" t="s">
        <v>83</v>
      </c>
      <c r="G43" s="49" t="s">
        <v>31</v>
      </c>
      <c r="H43" s="43">
        <v>33000</v>
      </c>
      <c r="I43" s="44">
        <f>H43*2.87%</f>
        <v>947.1</v>
      </c>
      <c r="J43" s="44">
        <f>H43*3.04%</f>
        <v>1003.2</v>
      </c>
      <c r="K43" s="44">
        <f>H43-I43-J43</f>
        <v>31049.7</v>
      </c>
      <c r="L43" s="50">
        <v>0</v>
      </c>
      <c r="M43" s="44"/>
      <c r="N43" s="44"/>
      <c r="O43" s="44">
        <v>25</v>
      </c>
      <c r="P43" s="44"/>
      <c r="Q43" s="44">
        <v>0</v>
      </c>
      <c r="R43" s="44"/>
      <c r="S43" s="44">
        <f>I43+J43+L43+N43+O43+P43+Q43</f>
        <v>1975.3000000000002</v>
      </c>
      <c r="T43" s="43">
        <f>H43-S43</f>
        <v>31024.7</v>
      </c>
    </row>
    <row r="44" spans="1:20" ht="40.15" customHeight="1" thickBot="1" x14ac:dyDescent="0.45">
      <c r="A44" s="37"/>
      <c r="B44" s="152" t="s">
        <v>46</v>
      </c>
      <c r="C44" s="153"/>
      <c r="D44" s="153"/>
      <c r="E44" s="153"/>
      <c r="F44" s="154"/>
      <c r="G44" s="61"/>
      <c r="H44" s="55">
        <f>SUM(H39:H43)</f>
        <v>486000</v>
      </c>
      <c r="I44" s="55">
        <f t="shared" ref="I44:T44" si="28">SUM(I39:I43)</f>
        <v>13948.2</v>
      </c>
      <c r="J44" s="55">
        <f>SUM(J39:J43)</f>
        <v>14234.192000000003</v>
      </c>
      <c r="K44" s="55">
        <f t="shared" si="28"/>
        <v>457817.60800000001</v>
      </c>
      <c r="L44" s="55">
        <f>SUM(L39:L43)</f>
        <v>64762.789999999994</v>
      </c>
      <c r="M44" s="55">
        <f t="shared" si="28"/>
        <v>0</v>
      </c>
      <c r="N44" s="55">
        <f t="shared" si="28"/>
        <v>0</v>
      </c>
      <c r="O44" s="55">
        <f t="shared" si="28"/>
        <v>125</v>
      </c>
      <c r="P44" s="55">
        <f t="shared" si="28"/>
        <v>0</v>
      </c>
      <c r="Q44" s="55">
        <f t="shared" si="28"/>
        <v>0</v>
      </c>
      <c r="R44" s="55">
        <f t="shared" si="28"/>
        <v>0</v>
      </c>
      <c r="S44" s="55">
        <f t="shared" si="28"/>
        <v>93070.182000000001</v>
      </c>
      <c r="T44" s="55">
        <f t="shared" si="28"/>
        <v>392929.81800000003</v>
      </c>
    </row>
    <row r="45" spans="1:20" ht="50.25" customHeight="1" thickBot="1" x14ac:dyDescent="0.45">
      <c r="A45" s="37"/>
      <c r="B45" s="146" t="s">
        <v>85</v>
      </c>
      <c r="C45" s="147"/>
      <c r="D45" s="147"/>
      <c r="E45" s="148"/>
      <c r="F45" s="53"/>
      <c r="G45" s="57"/>
      <c r="H45" s="54"/>
      <c r="I45" s="54"/>
      <c r="J45" s="54"/>
      <c r="K45" s="54"/>
      <c r="L45" s="54"/>
      <c r="M45" s="54"/>
      <c r="N45" s="54"/>
      <c r="O45" s="43"/>
      <c r="P45" s="54"/>
      <c r="Q45" s="58"/>
      <c r="R45" s="58"/>
      <c r="S45" s="58"/>
      <c r="T45" s="54"/>
    </row>
    <row r="46" spans="1:20" ht="48" customHeight="1" thickBot="1" x14ac:dyDescent="0.45">
      <c r="A46" s="37">
        <v>25</v>
      </c>
      <c r="B46" s="46">
        <v>45659</v>
      </c>
      <c r="C46" s="46">
        <v>45665</v>
      </c>
      <c r="D46" s="47" t="s">
        <v>28</v>
      </c>
      <c r="E46" s="48" t="s">
        <v>86</v>
      </c>
      <c r="F46" s="48" t="s">
        <v>87</v>
      </c>
      <c r="G46" s="49" t="s">
        <v>31</v>
      </c>
      <c r="H46" s="43">
        <v>225000</v>
      </c>
      <c r="I46" s="44">
        <f t="shared" ref="I46:I51" si="29">H46*2.87%</f>
        <v>6457.5</v>
      </c>
      <c r="J46" s="44">
        <f>H46*3.04%</f>
        <v>6840</v>
      </c>
      <c r="K46" s="44">
        <f t="shared" ref="K46:K51" si="30">H46-I46-J46</f>
        <v>211702.5</v>
      </c>
      <c r="L46" s="50">
        <v>41508.49</v>
      </c>
      <c r="M46" s="44"/>
      <c r="N46" s="44"/>
      <c r="O46" s="44">
        <v>25</v>
      </c>
      <c r="P46" s="44"/>
      <c r="Q46" s="44"/>
      <c r="R46" s="44"/>
      <c r="S46" s="44">
        <f>I46+J46+N46+O46+P46+L46+Q46</f>
        <v>54830.99</v>
      </c>
      <c r="T46" s="43">
        <f t="shared" ref="T46:T51" si="31">H46-S46</f>
        <v>170169.01</v>
      </c>
    </row>
    <row r="47" spans="1:20" ht="48" customHeight="1" thickBot="1" x14ac:dyDescent="0.45">
      <c r="A47" s="37">
        <v>26</v>
      </c>
      <c r="B47" s="46">
        <v>43872</v>
      </c>
      <c r="C47" s="46">
        <v>45696</v>
      </c>
      <c r="D47" s="47" t="s">
        <v>36</v>
      </c>
      <c r="E47" s="48" t="s">
        <v>88</v>
      </c>
      <c r="F47" s="48" t="s">
        <v>89</v>
      </c>
      <c r="G47" s="49" t="s">
        <v>31</v>
      </c>
      <c r="H47" s="43">
        <v>150000</v>
      </c>
      <c r="I47" s="44">
        <f t="shared" si="29"/>
        <v>4305</v>
      </c>
      <c r="J47" s="44">
        <f t="shared" ref="J47:J51" si="32">H47*3.04%</f>
        <v>4560</v>
      </c>
      <c r="K47" s="44">
        <f t="shared" si="30"/>
        <v>141135</v>
      </c>
      <c r="L47" s="50">
        <v>23866.62</v>
      </c>
      <c r="M47" s="44"/>
      <c r="N47" s="44"/>
      <c r="O47" s="44">
        <v>25</v>
      </c>
      <c r="P47" s="44"/>
      <c r="Q47" s="44"/>
      <c r="R47" s="44"/>
      <c r="S47" s="44">
        <f t="shared" ref="S47:S53" si="33">I47+J47+N47+O47+P47+L47+Q47</f>
        <v>32756.62</v>
      </c>
      <c r="T47" s="43">
        <f t="shared" si="31"/>
        <v>117243.38</v>
      </c>
    </row>
    <row r="48" spans="1:20" ht="48" customHeight="1" thickBot="1" x14ac:dyDescent="0.45">
      <c r="A48" s="37">
        <v>27</v>
      </c>
      <c r="B48" s="46">
        <v>44199</v>
      </c>
      <c r="C48" s="46">
        <v>45665</v>
      </c>
      <c r="D48" s="47" t="s">
        <v>28</v>
      </c>
      <c r="E48" s="48" t="s">
        <v>90</v>
      </c>
      <c r="F48" s="48" t="s">
        <v>91</v>
      </c>
      <c r="G48" s="49" t="s">
        <v>31</v>
      </c>
      <c r="H48" s="43">
        <v>95000</v>
      </c>
      <c r="I48" s="44">
        <f t="shared" si="29"/>
        <v>2726.5</v>
      </c>
      <c r="J48" s="44">
        <f t="shared" si="32"/>
        <v>2888</v>
      </c>
      <c r="K48" s="44">
        <f t="shared" si="30"/>
        <v>89385.5</v>
      </c>
      <c r="L48" s="50">
        <v>10449.299999999999</v>
      </c>
      <c r="M48" s="44"/>
      <c r="N48" s="44">
        <v>1919.78</v>
      </c>
      <c r="O48" s="44">
        <v>25</v>
      </c>
      <c r="P48" s="44"/>
      <c r="Q48" s="44"/>
      <c r="R48" s="44"/>
      <c r="S48" s="44">
        <f t="shared" si="33"/>
        <v>18008.579999999998</v>
      </c>
      <c r="T48" s="43">
        <f t="shared" si="31"/>
        <v>76991.42</v>
      </c>
    </row>
    <row r="49" spans="1:74" ht="48" customHeight="1" thickBot="1" x14ac:dyDescent="0.45">
      <c r="A49" s="37">
        <v>28</v>
      </c>
      <c r="B49" s="46">
        <v>44621</v>
      </c>
      <c r="C49" s="46">
        <v>45723</v>
      </c>
      <c r="D49" s="47" t="s">
        <v>36</v>
      </c>
      <c r="E49" s="48" t="s">
        <v>92</v>
      </c>
      <c r="F49" s="48" t="s">
        <v>93</v>
      </c>
      <c r="G49" s="49" t="s">
        <v>31</v>
      </c>
      <c r="H49" s="43">
        <v>92000</v>
      </c>
      <c r="I49" s="44">
        <f t="shared" si="29"/>
        <v>2640.4</v>
      </c>
      <c r="J49" s="44">
        <f t="shared" si="32"/>
        <v>2796.8</v>
      </c>
      <c r="K49" s="44">
        <f t="shared" si="30"/>
        <v>86562.8</v>
      </c>
      <c r="L49" s="50">
        <v>10223.57</v>
      </c>
      <c r="M49" s="44"/>
      <c r="N49" s="44"/>
      <c r="O49" s="44">
        <v>25</v>
      </c>
      <c r="P49" s="44"/>
      <c r="Q49" s="44"/>
      <c r="R49" s="44"/>
      <c r="S49" s="44">
        <f t="shared" si="33"/>
        <v>15685.77</v>
      </c>
      <c r="T49" s="43">
        <f t="shared" si="31"/>
        <v>76314.23</v>
      </c>
    </row>
    <row r="50" spans="1:74" ht="48" customHeight="1" thickBot="1" x14ac:dyDescent="0.45">
      <c r="A50" s="37">
        <v>29</v>
      </c>
      <c r="B50" s="46">
        <v>44566</v>
      </c>
      <c r="C50" s="46">
        <v>45664</v>
      </c>
      <c r="D50" s="47" t="s">
        <v>28</v>
      </c>
      <c r="E50" s="48" t="s">
        <v>94</v>
      </c>
      <c r="F50" s="48" t="s">
        <v>95</v>
      </c>
      <c r="G50" s="49" t="s">
        <v>31</v>
      </c>
      <c r="H50" s="43">
        <v>95000</v>
      </c>
      <c r="I50" s="44">
        <f t="shared" si="29"/>
        <v>2726.5</v>
      </c>
      <c r="J50" s="44">
        <f t="shared" si="32"/>
        <v>2888</v>
      </c>
      <c r="K50" s="44">
        <f t="shared" si="30"/>
        <v>89385.5</v>
      </c>
      <c r="L50" s="50">
        <v>10929.24</v>
      </c>
      <c r="M50" s="44"/>
      <c r="N50" s="44"/>
      <c r="O50" s="44">
        <v>25</v>
      </c>
      <c r="P50" s="44"/>
      <c r="Q50" s="44"/>
      <c r="R50" s="44"/>
      <c r="S50" s="44">
        <f t="shared" si="33"/>
        <v>16568.739999999998</v>
      </c>
      <c r="T50" s="43">
        <f t="shared" si="31"/>
        <v>78431.260000000009</v>
      </c>
    </row>
    <row r="51" spans="1:74" ht="48" customHeight="1" thickBot="1" x14ac:dyDescent="0.45">
      <c r="A51" s="37">
        <v>30</v>
      </c>
      <c r="B51" s="46">
        <v>45661</v>
      </c>
      <c r="C51" s="46">
        <v>45668</v>
      </c>
      <c r="D51" s="47" t="s">
        <v>36</v>
      </c>
      <c r="E51" s="48" t="s">
        <v>96</v>
      </c>
      <c r="F51" s="48" t="s">
        <v>93</v>
      </c>
      <c r="G51" s="49" t="s">
        <v>31</v>
      </c>
      <c r="H51" s="43">
        <v>80000</v>
      </c>
      <c r="I51" s="44">
        <f t="shared" si="29"/>
        <v>2296</v>
      </c>
      <c r="J51" s="44">
        <f t="shared" si="32"/>
        <v>2432</v>
      </c>
      <c r="K51" s="44">
        <f t="shared" si="30"/>
        <v>75272</v>
      </c>
      <c r="L51" s="50">
        <v>7400.87</v>
      </c>
      <c r="M51" s="44"/>
      <c r="N51" s="44"/>
      <c r="O51" s="44">
        <v>25</v>
      </c>
      <c r="P51" s="44"/>
      <c r="Q51" s="44"/>
      <c r="R51" s="44"/>
      <c r="S51" s="44">
        <f t="shared" si="33"/>
        <v>12153.869999999999</v>
      </c>
      <c r="T51" s="43">
        <f t="shared" si="31"/>
        <v>67846.13</v>
      </c>
    </row>
    <row r="52" spans="1:74" ht="48" customHeight="1" thickBot="1" x14ac:dyDescent="0.45">
      <c r="A52" s="37">
        <v>31</v>
      </c>
      <c r="B52" s="46" t="s">
        <v>97</v>
      </c>
      <c r="C52" s="46" t="s">
        <v>98</v>
      </c>
      <c r="D52" s="47" t="s">
        <v>36</v>
      </c>
      <c r="E52" s="48" t="s">
        <v>99</v>
      </c>
      <c r="F52" s="48" t="s">
        <v>81</v>
      </c>
      <c r="G52" s="49" t="s">
        <v>31</v>
      </c>
      <c r="H52" s="43">
        <v>120000</v>
      </c>
      <c r="I52" s="44">
        <f>H52*2.87%</f>
        <v>3444</v>
      </c>
      <c r="J52" s="44">
        <f>H52*3.04%</f>
        <v>3648</v>
      </c>
      <c r="K52" s="44">
        <f>H52-I52-J52</f>
        <v>112908</v>
      </c>
      <c r="L52" s="50">
        <v>16809.87</v>
      </c>
      <c r="M52" s="44"/>
      <c r="N52" s="44">
        <v>0</v>
      </c>
      <c r="O52" s="44">
        <v>25</v>
      </c>
      <c r="P52" s="44"/>
      <c r="Q52" s="44">
        <v>0</v>
      </c>
      <c r="R52" s="44"/>
      <c r="S52" s="44">
        <f t="shared" si="33"/>
        <v>23926.87</v>
      </c>
      <c r="T52" s="43">
        <f>H52-S52</f>
        <v>96073.13</v>
      </c>
    </row>
    <row r="53" spans="1:74" ht="48" customHeight="1" thickBot="1" x14ac:dyDescent="0.45">
      <c r="A53" s="37">
        <v>32</v>
      </c>
      <c r="B53" s="46">
        <v>45663</v>
      </c>
      <c r="C53" s="46">
        <v>45669</v>
      </c>
      <c r="D53" s="47" t="s">
        <v>28</v>
      </c>
      <c r="E53" s="48" t="s">
        <v>100</v>
      </c>
      <c r="F53" s="48" t="s">
        <v>65</v>
      </c>
      <c r="G53" s="49" t="s">
        <v>31</v>
      </c>
      <c r="H53" s="43">
        <v>65000</v>
      </c>
      <c r="I53" s="44">
        <f t="shared" ref="I53" si="34">H53*2.87%</f>
        <v>1865.5</v>
      </c>
      <c r="J53" s="44">
        <f t="shared" ref="J53" si="35">H53*3.04%</f>
        <v>1976</v>
      </c>
      <c r="K53" s="44">
        <f t="shared" ref="K53" si="36">H53-I53-J53</f>
        <v>61158.5</v>
      </c>
      <c r="L53" s="50">
        <v>0</v>
      </c>
      <c r="M53" s="44"/>
      <c r="N53" s="44"/>
      <c r="O53" s="44">
        <f>25</f>
        <v>25</v>
      </c>
      <c r="P53" s="44"/>
      <c r="Q53" s="44"/>
      <c r="R53" s="44"/>
      <c r="S53" s="44">
        <f t="shared" si="33"/>
        <v>3866.5</v>
      </c>
      <c r="T53" s="43">
        <f t="shared" ref="T53" si="37">H53-S53</f>
        <v>61133.5</v>
      </c>
    </row>
    <row r="54" spans="1:74" ht="40.15" customHeight="1" thickBot="1" x14ac:dyDescent="0.45">
      <c r="A54" s="37"/>
      <c r="B54" s="152" t="s">
        <v>46</v>
      </c>
      <c r="C54" s="153"/>
      <c r="D54" s="153"/>
      <c r="E54" s="153"/>
      <c r="F54" s="154"/>
      <c r="G54" s="61"/>
      <c r="H54" s="55">
        <f>SUM(H46:H53)</f>
        <v>922000</v>
      </c>
      <c r="I54" s="55">
        <f t="shared" ref="I54:S54" si="38">SUM(I46:I53)</f>
        <v>26461.4</v>
      </c>
      <c r="J54" s="55">
        <f>SUM(J46:J53)</f>
        <v>28028.799999999999</v>
      </c>
      <c r="K54" s="55">
        <f t="shared" si="38"/>
        <v>867509.8</v>
      </c>
      <c r="L54" s="55">
        <f>SUM(L46:L53)</f>
        <v>121187.96</v>
      </c>
      <c r="M54" s="55">
        <f t="shared" si="38"/>
        <v>0</v>
      </c>
      <c r="N54" s="55">
        <f t="shared" si="38"/>
        <v>1919.78</v>
      </c>
      <c r="O54" s="55">
        <f>SUM(O46:O53)</f>
        <v>200</v>
      </c>
      <c r="P54" s="55">
        <f t="shared" si="38"/>
        <v>0</v>
      </c>
      <c r="Q54" s="55">
        <f t="shared" si="38"/>
        <v>0</v>
      </c>
      <c r="R54" s="55">
        <f t="shared" si="38"/>
        <v>0</v>
      </c>
      <c r="S54" s="55">
        <f t="shared" si="38"/>
        <v>177797.94</v>
      </c>
      <c r="T54" s="55">
        <f>SUM(T46:T53)</f>
        <v>744202.05999999994</v>
      </c>
    </row>
    <row r="55" spans="1:74" ht="48.6" customHeight="1" thickBot="1" x14ac:dyDescent="0.45">
      <c r="A55" s="37"/>
      <c r="B55" s="146" t="s">
        <v>101</v>
      </c>
      <c r="C55" s="147"/>
      <c r="D55" s="147"/>
      <c r="E55" s="148"/>
      <c r="F55" s="53"/>
      <c r="G55" s="61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54"/>
      <c r="T55" s="54"/>
    </row>
    <row r="56" spans="1:74" ht="48" customHeight="1" thickBot="1" x14ac:dyDescent="0.45">
      <c r="A56" s="37">
        <v>33</v>
      </c>
      <c r="B56" s="46">
        <v>45662</v>
      </c>
      <c r="C56" s="46">
        <v>45668</v>
      </c>
      <c r="D56" s="47" t="s">
        <v>28</v>
      </c>
      <c r="E56" s="48" t="s">
        <v>102</v>
      </c>
      <c r="F56" s="48" t="s">
        <v>103</v>
      </c>
      <c r="G56" s="49" t="s">
        <v>31</v>
      </c>
      <c r="H56" s="43">
        <v>155000</v>
      </c>
      <c r="I56" s="44">
        <f>H56*2.87%</f>
        <v>4448.5</v>
      </c>
      <c r="J56" s="44">
        <f>H56*3.04%</f>
        <v>4712</v>
      </c>
      <c r="K56" s="44">
        <f>H56-I56-J56</f>
        <v>145839.5</v>
      </c>
      <c r="L56" s="50">
        <v>24082.85</v>
      </c>
      <c r="M56" s="44"/>
      <c r="N56" s="44">
        <f>1919.78*2</f>
        <v>3839.56</v>
      </c>
      <c r="O56" s="44">
        <v>25</v>
      </c>
      <c r="P56" s="44">
        <v>0</v>
      </c>
      <c r="Q56" s="44"/>
      <c r="R56" s="44"/>
      <c r="S56" s="44">
        <f>I56+J56+L56+N56+O56+P56+Q56</f>
        <v>37107.909999999996</v>
      </c>
      <c r="T56" s="43">
        <f>H56-S56</f>
        <v>117892.09</v>
      </c>
    </row>
    <row r="57" spans="1:74" ht="48" customHeight="1" thickBot="1" x14ac:dyDescent="0.45">
      <c r="A57" s="37">
        <v>34</v>
      </c>
      <c r="B57" s="46">
        <v>45664</v>
      </c>
      <c r="C57" s="46">
        <v>46023</v>
      </c>
      <c r="D57" s="47" t="s">
        <v>28</v>
      </c>
      <c r="E57" s="48" t="s">
        <v>104</v>
      </c>
      <c r="F57" s="48" t="s">
        <v>105</v>
      </c>
      <c r="G57" s="49" t="s">
        <v>31</v>
      </c>
      <c r="H57" s="43">
        <v>90000</v>
      </c>
      <c r="I57" s="44">
        <f>H57*2.87%</f>
        <v>2583</v>
      </c>
      <c r="J57" s="44">
        <f>H57*3.04%</f>
        <v>2736</v>
      </c>
      <c r="K57" s="44">
        <f>H57-I57-J57</f>
        <v>84681</v>
      </c>
      <c r="L57" s="50">
        <v>9753.1200000000008</v>
      </c>
      <c r="M57" s="44"/>
      <c r="N57" s="44">
        <v>0</v>
      </c>
      <c r="O57" s="44">
        <v>25</v>
      </c>
      <c r="P57" s="44">
        <v>0</v>
      </c>
      <c r="Q57" s="44"/>
      <c r="R57" s="44"/>
      <c r="S57" s="44">
        <f t="shared" ref="S57" si="39">I57+J57+L57+N57+O57+P57+Q57</f>
        <v>15097.12</v>
      </c>
      <c r="T57" s="43">
        <f>H57-S57</f>
        <v>74902.880000000005</v>
      </c>
    </row>
    <row r="58" spans="1:74" ht="48.6" customHeight="1" thickBot="1" x14ac:dyDescent="0.45">
      <c r="A58" s="37"/>
      <c r="B58" s="152" t="s">
        <v>46</v>
      </c>
      <c r="C58" s="153"/>
      <c r="D58" s="153"/>
      <c r="E58" s="153"/>
      <c r="F58" s="154"/>
      <c r="G58" s="63"/>
      <c r="H58" s="55">
        <f t="shared" ref="H58:T58" si="40">SUM(H56:H57)</f>
        <v>245000</v>
      </c>
      <c r="I58" s="55">
        <f t="shared" si="40"/>
        <v>7031.5</v>
      </c>
      <c r="J58" s="55">
        <f t="shared" si="40"/>
        <v>7448</v>
      </c>
      <c r="K58" s="55">
        <f t="shared" si="40"/>
        <v>230520.5</v>
      </c>
      <c r="L58" s="55">
        <f t="shared" si="40"/>
        <v>33835.97</v>
      </c>
      <c r="M58" s="55">
        <f t="shared" si="40"/>
        <v>0</v>
      </c>
      <c r="N58" s="55">
        <f t="shared" si="40"/>
        <v>3839.56</v>
      </c>
      <c r="O58" s="55">
        <f t="shared" si="40"/>
        <v>50</v>
      </c>
      <c r="P58" s="55">
        <f t="shared" si="40"/>
        <v>0</v>
      </c>
      <c r="Q58" s="55">
        <f t="shared" si="40"/>
        <v>0</v>
      </c>
      <c r="R58" s="55">
        <f t="shared" si="40"/>
        <v>0</v>
      </c>
      <c r="S58" s="55">
        <f t="shared" si="40"/>
        <v>52205.03</v>
      </c>
      <c r="T58" s="55">
        <f t="shared" si="40"/>
        <v>192794.97</v>
      </c>
    </row>
    <row r="59" spans="1:74" ht="48.6" customHeight="1" thickBot="1" x14ac:dyDescent="0.45">
      <c r="A59" s="64"/>
      <c r="B59" s="146" t="s">
        <v>106</v>
      </c>
      <c r="C59" s="147"/>
      <c r="D59" s="147"/>
      <c r="E59" s="147"/>
      <c r="F59" s="53"/>
      <c r="G59" s="65"/>
      <c r="H59" s="54"/>
      <c r="I59" s="54"/>
      <c r="J59" s="54"/>
      <c r="K59" s="54"/>
      <c r="L59" s="54"/>
      <c r="M59" s="54"/>
      <c r="N59" s="54"/>
      <c r="O59" s="54"/>
      <c r="P59" s="54"/>
      <c r="Q59" s="58"/>
      <c r="R59" s="58"/>
      <c r="S59" s="58"/>
      <c r="T59" s="54"/>
    </row>
    <row r="60" spans="1:74" ht="48.6" customHeight="1" thickBot="1" x14ac:dyDescent="0.45">
      <c r="A60" s="64">
        <v>35</v>
      </c>
      <c r="B60" s="47">
        <v>45302</v>
      </c>
      <c r="C60" s="47">
        <v>45663</v>
      </c>
      <c r="D60" s="47" t="s">
        <v>28</v>
      </c>
      <c r="E60" s="48" t="s">
        <v>107</v>
      </c>
      <c r="F60" s="48" t="s">
        <v>108</v>
      </c>
      <c r="G60" s="49" t="s">
        <v>31</v>
      </c>
      <c r="H60" s="66">
        <v>95000</v>
      </c>
      <c r="I60" s="67">
        <f>H60*2.87%</f>
        <v>2726.5</v>
      </c>
      <c r="J60" s="66">
        <f>H60*3.04%</f>
        <v>2888</v>
      </c>
      <c r="K60" s="67">
        <f>H60-I60-J60</f>
        <v>89385.5</v>
      </c>
      <c r="L60" s="43">
        <v>10449.299999999999</v>
      </c>
      <c r="M60" s="66"/>
      <c r="N60" s="67">
        <v>1919.78</v>
      </c>
      <c r="O60" s="67">
        <v>25</v>
      </c>
      <c r="P60" s="67"/>
      <c r="Q60" s="67"/>
      <c r="R60" s="67"/>
      <c r="S60" s="66">
        <f>I60+J60+L60+N60+O60+P60+Q60</f>
        <v>18008.579999999998</v>
      </c>
      <c r="T60" s="68">
        <f>H60-S60</f>
        <v>76991.42</v>
      </c>
    </row>
    <row r="61" spans="1:74" ht="48.6" customHeight="1" thickBot="1" x14ac:dyDescent="0.45">
      <c r="A61" s="64"/>
      <c r="B61" s="146"/>
      <c r="C61" s="147"/>
      <c r="D61" s="147"/>
      <c r="E61" s="148"/>
      <c r="F61" s="48"/>
      <c r="G61" s="65"/>
      <c r="H61" s="55">
        <f>H60</f>
        <v>95000</v>
      </c>
      <c r="I61" s="55">
        <f t="shared" ref="I61:S61" si="41">I60</f>
        <v>2726.5</v>
      </c>
      <c r="J61" s="55">
        <f t="shared" si="41"/>
        <v>2888</v>
      </c>
      <c r="K61" s="55">
        <f t="shared" si="41"/>
        <v>89385.5</v>
      </c>
      <c r="L61" s="55">
        <f t="shared" si="41"/>
        <v>10449.299999999999</v>
      </c>
      <c r="M61" s="55">
        <f t="shared" si="41"/>
        <v>0</v>
      </c>
      <c r="N61" s="55">
        <f t="shared" si="41"/>
        <v>1919.78</v>
      </c>
      <c r="O61" s="55">
        <f>O60</f>
        <v>25</v>
      </c>
      <c r="P61" s="55">
        <f t="shared" si="41"/>
        <v>0</v>
      </c>
      <c r="Q61" s="55">
        <f t="shared" si="41"/>
        <v>0</v>
      </c>
      <c r="R61" s="55">
        <f t="shared" si="41"/>
        <v>0</v>
      </c>
      <c r="S61" s="55">
        <f t="shared" si="41"/>
        <v>18008.579999999998</v>
      </c>
      <c r="T61" s="55">
        <f>T60</f>
        <v>76991.42</v>
      </c>
    </row>
    <row r="62" spans="1:74" s="70" customFormat="1" ht="48.6" customHeight="1" thickBot="1" x14ac:dyDescent="0.45">
      <c r="A62" s="69"/>
      <c r="B62" s="146" t="s">
        <v>109</v>
      </c>
      <c r="C62" s="147"/>
      <c r="D62" s="147"/>
      <c r="E62" s="148"/>
      <c r="G62" s="71"/>
      <c r="H62" s="71"/>
      <c r="I62" s="71"/>
      <c r="J62" s="71"/>
      <c r="K62" s="71"/>
      <c r="L62" s="71"/>
      <c r="M62" s="72"/>
      <c r="N62" s="71"/>
      <c r="O62" s="71"/>
      <c r="P62" s="71"/>
      <c r="Q62" s="71"/>
      <c r="R62" s="71"/>
      <c r="S62" s="71"/>
      <c r="T62" s="69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72"/>
      <c r="AU62" s="72"/>
      <c r="AV62" s="72"/>
      <c r="AW62" s="72"/>
      <c r="AX62" s="72"/>
      <c r="AY62" s="72"/>
      <c r="AZ62" s="72"/>
      <c r="BA62" s="72"/>
      <c r="BB62" s="72"/>
      <c r="BC62" s="72"/>
      <c r="BD62" s="72"/>
      <c r="BE62" s="72"/>
      <c r="BF62" s="72"/>
      <c r="BG62" s="72"/>
      <c r="BH62" s="72"/>
      <c r="BI62" s="72"/>
      <c r="BJ62" s="72"/>
      <c r="BK62" s="72"/>
      <c r="BL62" s="72"/>
      <c r="BM62" s="72"/>
      <c r="BN62" s="72"/>
      <c r="BO62" s="72"/>
      <c r="BP62" s="72"/>
      <c r="BQ62" s="72"/>
      <c r="BR62" s="72"/>
      <c r="BS62" s="72"/>
      <c r="BT62" s="72"/>
      <c r="BU62" s="72"/>
      <c r="BV62" s="72"/>
    </row>
    <row r="63" spans="1:74" ht="48" customHeight="1" thickBot="1" x14ac:dyDescent="0.45">
      <c r="A63" s="37">
        <v>36</v>
      </c>
      <c r="B63" s="46">
        <v>45665</v>
      </c>
      <c r="C63" s="46">
        <v>46024</v>
      </c>
      <c r="D63" s="49" t="s">
        <v>28</v>
      </c>
      <c r="E63" s="42" t="s">
        <v>110</v>
      </c>
      <c r="F63" s="73" t="s">
        <v>111</v>
      </c>
      <c r="G63" s="49" t="s">
        <v>31</v>
      </c>
      <c r="H63" s="43">
        <v>155000</v>
      </c>
      <c r="I63" s="44">
        <f t="shared" ref="I63" si="42">H63*2.87%</f>
        <v>4448.5</v>
      </c>
      <c r="J63" s="44">
        <f t="shared" ref="J63" si="43">H63*3.04%</f>
        <v>4712</v>
      </c>
      <c r="K63" s="44">
        <f t="shared" ref="K63" si="44">H63-I63-J63</f>
        <v>145839.5</v>
      </c>
      <c r="L63" s="50">
        <v>25042.74</v>
      </c>
      <c r="M63" s="44"/>
      <c r="N63" s="44"/>
      <c r="O63" s="44">
        <v>25</v>
      </c>
      <c r="P63" s="44"/>
      <c r="Q63" s="44">
        <v>0</v>
      </c>
      <c r="R63" s="44">
        <v>0</v>
      </c>
      <c r="S63" s="44">
        <f>I63+J63+L63+N63+O63+P63+Q63</f>
        <v>34228.240000000005</v>
      </c>
      <c r="T63" s="43">
        <f>H63-S63</f>
        <v>120771.76</v>
      </c>
    </row>
    <row r="64" spans="1:74" ht="48" customHeight="1" thickBot="1" x14ac:dyDescent="0.45">
      <c r="A64" s="37">
        <v>37</v>
      </c>
      <c r="B64" s="46">
        <v>45658</v>
      </c>
      <c r="C64" s="46">
        <v>45664</v>
      </c>
      <c r="D64" s="49" t="s">
        <v>36</v>
      </c>
      <c r="E64" s="42" t="s">
        <v>112</v>
      </c>
      <c r="F64" s="73" t="s">
        <v>113</v>
      </c>
      <c r="G64" s="49" t="s">
        <v>31</v>
      </c>
      <c r="H64" s="43">
        <v>60000</v>
      </c>
      <c r="I64" s="44">
        <f>H64*2.87%</f>
        <v>1722</v>
      </c>
      <c r="J64" s="44">
        <f>H64*3.04%</f>
        <v>1824</v>
      </c>
      <c r="K64" s="44">
        <f>H64-I64-J64</f>
        <v>56454</v>
      </c>
      <c r="L64" s="50">
        <v>3486.68</v>
      </c>
      <c r="M64" s="44"/>
      <c r="N64" s="44"/>
      <c r="O64" s="44">
        <v>25</v>
      </c>
      <c r="P64" s="44"/>
      <c r="Q64" s="44"/>
      <c r="R64" s="44"/>
      <c r="S64" s="44">
        <f t="shared" ref="S64:S67" si="45">I64+J64+L64+N64+O64+P64+Q64</f>
        <v>7057.68</v>
      </c>
      <c r="T64" s="43">
        <f>H64-S64</f>
        <v>52942.32</v>
      </c>
    </row>
    <row r="65" spans="1:23" ht="48" customHeight="1" thickBot="1" x14ac:dyDescent="0.45">
      <c r="A65" s="37">
        <v>38</v>
      </c>
      <c r="B65" s="46">
        <v>46054</v>
      </c>
      <c r="C65" s="46">
        <v>46026</v>
      </c>
      <c r="D65" s="49" t="s">
        <v>36</v>
      </c>
      <c r="E65" s="42" t="s">
        <v>114</v>
      </c>
      <c r="F65" s="73" t="s">
        <v>115</v>
      </c>
      <c r="G65" s="49" t="s">
        <v>52</v>
      </c>
      <c r="H65" s="43">
        <v>15000</v>
      </c>
      <c r="I65" s="44">
        <f t="shared" ref="I65:I66" si="46">+H65*2.87%</f>
        <v>430.5</v>
      </c>
      <c r="J65" s="44">
        <f t="shared" ref="J65:J66" si="47">+H65*3.04%</f>
        <v>456</v>
      </c>
      <c r="K65" s="44">
        <f t="shared" ref="K65:K66" si="48">H65-I65-J65</f>
        <v>14113.5</v>
      </c>
      <c r="L65" s="50">
        <v>0</v>
      </c>
      <c r="M65" s="44"/>
      <c r="N65" s="44"/>
      <c r="O65" s="44">
        <v>25</v>
      </c>
      <c r="P65" s="44"/>
      <c r="Q65" s="44">
        <v>0</v>
      </c>
      <c r="R65" s="44"/>
      <c r="S65" s="44">
        <f t="shared" si="45"/>
        <v>911.5</v>
      </c>
      <c r="T65" s="43">
        <f>H65-S65</f>
        <v>14088.5</v>
      </c>
    </row>
    <row r="66" spans="1:23" ht="48" customHeight="1" thickBot="1" x14ac:dyDescent="0.45">
      <c r="A66" s="37">
        <v>39</v>
      </c>
      <c r="B66" s="46">
        <v>45661</v>
      </c>
      <c r="C66" s="46">
        <v>46031</v>
      </c>
      <c r="D66" s="49" t="s">
        <v>36</v>
      </c>
      <c r="E66" s="42" t="s">
        <v>116</v>
      </c>
      <c r="F66" s="73" t="s">
        <v>117</v>
      </c>
      <c r="G66" s="49" t="s">
        <v>31</v>
      </c>
      <c r="H66" s="43">
        <v>55000</v>
      </c>
      <c r="I66" s="44">
        <f t="shared" si="46"/>
        <v>1578.5</v>
      </c>
      <c r="J66" s="44">
        <f t="shared" si="47"/>
        <v>1672</v>
      </c>
      <c r="K66" s="44">
        <f t="shared" si="48"/>
        <v>51749.5</v>
      </c>
      <c r="L66" s="50">
        <f>2559.68-2559.68</f>
        <v>0</v>
      </c>
      <c r="M66" s="44">
        <v>2559.6799999999998</v>
      </c>
      <c r="N66" s="44"/>
      <c r="O66" s="44">
        <v>25</v>
      </c>
      <c r="P66" s="44"/>
      <c r="Q66" s="44"/>
      <c r="R66" s="44">
        <v>0</v>
      </c>
      <c r="S66" s="44">
        <f>I66+J66+L66+R66+N66+O66+P66</f>
        <v>3275.5</v>
      </c>
      <c r="T66" s="44">
        <f>H66-S66</f>
        <v>51724.5</v>
      </c>
    </row>
    <row r="67" spans="1:23" ht="48" customHeight="1" thickBot="1" x14ac:dyDescent="0.45">
      <c r="A67" s="37">
        <v>40</v>
      </c>
      <c r="B67" s="46">
        <v>45660</v>
      </c>
      <c r="C67" s="46">
        <v>45666</v>
      </c>
      <c r="D67" s="49" t="s">
        <v>36</v>
      </c>
      <c r="E67" s="42" t="s">
        <v>118</v>
      </c>
      <c r="F67" s="73" t="s">
        <v>119</v>
      </c>
      <c r="G67" s="49" t="s">
        <v>31</v>
      </c>
      <c r="H67" s="43">
        <v>130000</v>
      </c>
      <c r="I67" s="44">
        <f>H67*2.87%</f>
        <v>3731</v>
      </c>
      <c r="J67" s="44">
        <f>H67*3.04%</f>
        <v>3952</v>
      </c>
      <c r="K67" s="44">
        <f>H67-I67-J67</f>
        <v>122317</v>
      </c>
      <c r="L67" s="50">
        <v>19162.12</v>
      </c>
      <c r="M67" s="44"/>
      <c r="N67" s="44">
        <v>0</v>
      </c>
      <c r="O67" s="44">
        <v>25</v>
      </c>
      <c r="P67" s="44"/>
      <c r="Q67" s="44">
        <v>0</v>
      </c>
      <c r="R67" s="44"/>
      <c r="S67" s="44">
        <f t="shared" si="45"/>
        <v>26870.12</v>
      </c>
      <c r="T67" s="43">
        <f>H67-S67</f>
        <v>103129.88</v>
      </c>
    </row>
    <row r="68" spans="1:23" ht="48.6" customHeight="1" thickBot="1" x14ac:dyDescent="0.5">
      <c r="A68" s="74"/>
      <c r="B68" s="51" t="s">
        <v>34</v>
      </c>
      <c r="C68" s="52"/>
      <c r="D68" s="52"/>
      <c r="E68" s="52"/>
      <c r="F68" s="53"/>
      <c r="G68" s="52"/>
      <c r="H68" s="55">
        <f>SUM(H63:H67)</f>
        <v>415000</v>
      </c>
      <c r="I68" s="55">
        <f t="shared" ref="I68:S68" si="49">SUM(I63:I67)</f>
        <v>11910.5</v>
      </c>
      <c r="J68" s="55">
        <f>SUM(J63:J67)</f>
        <v>12616</v>
      </c>
      <c r="K68" s="55">
        <f t="shared" si="49"/>
        <v>390473.5</v>
      </c>
      <c r="L68" s="55">
        <f t="shared" si="49"/>
        <v>47691.54</v>
      </c>
      <c r="M68" s="55">
        <f t="shared" si="49"/>
        <v>2559.6799999999998</v>
      </c>
      <c r="N68" s="55">
        <f t="shared" si="49"/>
        <v>0</v>
      </c>
      <c r="O68" s="55">
        <f>SUM(O63:O67)</f>
        <v>125</v>
      </c>
      <c r="P68" s="55">
        <f t="shared" si="49"/>
        <v>0</v>
      </c>
      <c r="Q68" s="55">
        <f t="shared" si="49"/>
        <v>0</v>
      </c>
      <c r="R68" s="55">
        <f t="shared" si="49"/>
        <v>0</v>
      </c>
      <c r="S68" s="55">
        <f t="shared" si="49"/>
        <v>72343.040000000008</v>
      </c>
      <c r="T68" s="55">
        <f>SUM(T63:T67)</f>
        <v>342656.95999999996</v>
      </c>
      <c r="U68" s="75"/>
      <c r="V68" s="76"/>
      <c r="W68" s="77"/>
    </row>
    <row r="69" spans="1:23" ht="48.6" customHeight="1" thickBot="1" x14ac:dyDescent="0.45">
      <c r="A69" s="37"/>
      <c r="B69" s="39" t="s">
        <v>120</v>
      </c>
      <c r="C69" s="39"/>
      <c r="D69" s="39"/>
      <c r="E69" s="39"/>
      <c r="F69" s="74"/>
      <c r="G69" s="63"/>
      <c r="H69" s="43"/>
      <c r="I69" s="43"/>
      <c r="J69" s="43"/>
      <c r="K69" s="43"/>
      <c r="L69" s="43"/>
      <c r="M69" s="43"/>
      <c r="N69" s="43"/>
      <c r="O69" s="43"/>
      <c r="P69" s="43"/>
      <c r="Q69" s="78"/>
      <c r="R69" s="78"/>
      <c r="S69" s="78"/>
      <c r="T69" s="43"/>
    </row>
    <row r="70" spans="1:23" ht="48" customHeight="1" thickBot="1" x14ac:dyDescent="0.45">
      <c r="A70" s="37">
        <v>41</v>
      </c>
      <c r="B70" s="46">
        <v>45666</v>
      </c>
      <c r="C70" s="46">
        <v>46024</v>
      </c>
      <c r="D70" s="49" t="s">
        <v>36</v>
      </c>
      <c r="E70" s="42" t="s">
        <v>121</v>
      </c>
      <c r="F70" s="73" t="s">
        <v>122</v>
      </c>
      <c r="G70" s="49" t="s">
        <v>31</v>
      </c>
      <c r="H70" s="43">
        <v>200000</v>
      </c>
      <c r="I70" s="44">
        <f>H70*2.87%</f>
        <v>5740</v>
      </c>
      <c r="J70" s="44">
        <f>H70*3.04%</f>
        <v>6080</v>
      </c>
      <c r="K70" s="44">
        <f>H70-I70-J70</f>
        <v>188180</v>
      </c>
      <c r="L70" s="50">
        <v>35627.94</v>
      </c>
      <c r="M70" s="44"/>
      <c r="N70" s="44">
        <v>0</v>
      </c>
      <c r="O70" s="44">
        <v>25</v>
      </c>
      <c r="P70" s="44"/>
      <c r="Q70" s="44"/>
      <c r="R70" s="44"/>
      <c r="S70" s="44">
        <f>I70+J70+L70+N70+O70+P70-R70+Q70</f>
        <v>47472.94</v>
      </c>
      <c r="T70" s="43">
        <f>H70-S70</f>
        <v>152527.06</v>
      </c>
    </row>
    <row r="71" spans="1:23" ht="48" customHeight="1" thickBot="1" x14ac:dyDescent="0.45">
      <c r="A71" s="37">
        <v>42</v>
      </c>
      <c r="B71" s="46" t="s">
        <v>123</v>
      </c>
      <c r="C71" s="46">
        <v>45664</v>
      </c>
      <c r="D71" s="49" t="s">
        <v>36</v>
      </c>
      <c r="E71" s="42" t="s">
        <v>124</v>
      </c>
      <c r="F71" s="73" t="s">
        <v>125</v>
      </c>
      <c r="G71" s="49" t="s">
        <v>31</v>
      </c>
      <c r="H71" s="43">
        <v>90000</v>
      </c>
      <c r="I71" s="44">
        <f>H71*2.87%</f>
        <v>2583</v>
      </c>
      <c r="J71" s="44">
        <f>H71*3.04%</f>
        <v>2736</v>
      </c>
      <c r="K71" s="44">
        <f>H71-I71-J71</f>
        <v>84681</v>
      </c>
      <c r="L71" s="50">
        <v>8793.23</v>
      </c>
      <c r="M71" s="44"/>
      <c r="N71" s="44">
        <f>1919.785*2</f>
        <v>3839.57</v>
      </c>
      <c r="O71" s="44">
        <v>25</v>
      </c>
      <c r="P71" s="44"/>
      <c r="Q71" s="44"/>
      <c r="R71" s="44"/>
      <c r="S71" s="44">
        <f t="shared" ref="S71:S72" si="50">I71+J71+L71+N71+O71+P71-R71+Q71</f>
        <v>17976.8</v>
      </c>
      <c r="T71" s="43">
        <f>H71-S71</f>
        <v>72023.199999999997</v>
      </c>
    </row>
    <row r="72" spans="1:23" ht="48" customHeight="1" thickBot="1" x14ac:dyDescent="0.45">
      <c r="A72" s="37">
        <v>43</v>
      </c>
      <c r="B72" s="46">
        <v>44565</v>
      </c>
      <c r="C72" s="46">
        <v>45666</v>
      </c>
      <c r="D72" s="49" t="s">
        <v>36</v>
      </c>
      <c r="E72" s="42" t="s">
        <v>126</v>
      </c>
      <c r="F72" s="73" t="s">
        <v>127</v>
      </c>
      <c r="G72" s="49" t="s">
        <v>31</v>
      </c>
      <c r="H72" s="43">
        <v>75000</v>
      </c>
      <c r="I72" s="44">
        <f>H72*2.87%</f>
        <v>2152.5</v>
      </c>
      <c r="J72" s="44">
        <f>H72*3.04%</f>
        <v>2280</v>
      </c>
      <c r="K72" s="44">
        <f>H72-I72-J72</f>
        <v>70567.5</v>
      </c>
      <c r="L72" s="50">
        <f>6309.38</f>
        <v>6309.38</v>
      </c>
      <c r="M72" s="44"/>
      <c r="N72" s="44">
        <v>0</v>
      </c>
      <c r="O72" s="44">
        <v>25</v>
      </c>
      <c r="P72" s="44"/>
      <c r="Q72" s="44"/>
      <c r="R72" s="44"/>
      <c r="S72" s="44">
        <f t="shared" si="50"/>
        <v>10766.880000000001</v>
      </c>
      <c r="T72" s="43">
        <f>H72-S72</f>
        <v>64233.119999999995</v>
      </c>
    </row>
    <row r="73" spans="1:23" ht="48.6" customHeight="1" thickBot="1" x14ac:dyDescent="0.5">
      <c r="A73" s="74"/>
      <c r="B73" s="51" t="s">
        <v>46</v>
      </c>
      <c r="C73" s="52"/>
      <c r="D73" s="52"/>
      <c r="E73" s="52"/>
      <c r="F73" s="53"/>
      <c r="G73" s="52"/>
      <c r="H73" s="55">
        <f>SUM(H70:H72)</f>
        <v>365000</v>
      </c>
      <c r="I73" s="55">
        <f t="shared" ref="I73:S73" si="51">SUM(I70:I72)</f>
        <v>10475.5</v>
      </c>
      <c r="J73" s="55">
        <f>SUM(J70:J72)</f>
        <v>11096</v>
      </c>
      <c r="K73" s="55">
        <f t="shared" si="51"/>
        <v>343428.5</v>
      </c>
      <c r="L73" s="55">
        <f t="shared" si="51"/>
        <v>50730.549999999996</v>
      </c>
      <c r="M73" s="55">
        <f t="shared" si="51"/>
        <v>0</v>
      </c>
      <c r="N73" s="55">
        <f t="shared" si="51"/>
        <v>3839.57</v>
      </c>
      <c r="O73" s="55">
        <f>SUM(O70:O72)</f>
        <v>75</v>
      </c>
      <c r="P73" s="55">
        <f t="shared" si="51"/>
        <v>0</v>
      </c>
      <c r="Q73" s="55">
        <f t="shared" si="51"/>
        <v>0</v>
      </c>
      <c r="R73" s="55">
        <f t="shared" si="51"/>
        <v>0</v>
      </c>
      <c r="S73" s="55">
        <f t="shared" si="51"/>
        <v>76216.62000000001</v>
      </c>
      <c r="T73" s="55">
        <f>SUM(T70:T72)</f>
        <v>288783.38</v>
      </c>
      <c r="U73" s="75"/>
      <c r="V73" s="76"/>
      <c r="W73" s="77"/>
    </row>
    <row r="74" spans="1:23" ht="48.6" customHeight="1" thickBot="1" x14ac:dyDescent="0.45">
      <c r="A74" s="74"/>
      <c r="B74" s="38" t="s">
        <v>128</v>
      </c>
      <c r="C74" s="79"/>
      <c r="D74" s="39"/>
      <c r="E74" s="40" t="s">
        <v>129</v>
      </c>
      <c r="F74" s="74"/>
      <c r="G74" s="5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54"/>
    </row>
    <row r="75" spans="1:23" ht="48" customHeight="1" thickBot="1" x14ac:dyDescent="0.45">
      <c r="A75" s="37">
        <v>44</v>
      </c>
      <c r="B75" s="46" t="s">
        <v>130</v>
      </c>
      <c r="C75" s="47">
        <v>45998</v>
      </c>
      <c r="D75" s="80" t="s">
        <v>28</v>
      </c>
      <c r="E75" s="48" t="s">
        <v>131</v>
      </c>
      <c r="F75" s="81" t="s">
        <v>132</v>
      </c>
      <c r="G75" s="80" t="s">
        <v>31</v>
      </c>
      <c r="H75" s="43">
        <v>250000</v>
      </c>
      <c r="I75" s="43">
        <f>H75*2.87%</f>
        <v>7175</v>
      </c>
      <c r="J75" s="43">
        <f>232230*3.04%</f>
        <v>7059.7920000000004</v>
      </c>
      <c r="K75" s="43">
        <f>H75-I75-J75</f>
        <v>235765.20800000001</v>
      </c>
      <c r="L75" s="43">
        <v>47524.17</v>
      </c>
      <c r="M75" s="82"/>
      <c r="N75" s="54"/>
      <c r="O75" s="43">
        <v>25</v>
      </c>
      <c r="P75" s="62"/>
      <c r="Q75" s="43"/>
      <c r="R75" s="54"/>
      <c r="S75" s="78">
        <f>I75+J75+L75+N75+O75+P75+Q75</f>
        <v>61783.962</v>
      </c>
      <c r="T75" s="43">
        <f>H75-S75</f>
        <v>188216.038</v>
      </c>
    </row>
    <row r="76" spans="1:23" ht="48.6" customHeight="1" thickBot="1" x14ac:dyDescent="0.45">
      <c r="A76" s="37">
        <v>45</v>
      </c>
      <c r="B76" s="46">
        <v>44936</v>
      </c>
      <c r="C76" s="47">
        <v>45666</v>
      </c>
      <c r="D76" s="80" t="s">
        <v>28</v>
      </c>
      <c r="E76" s="48" t="s">
        <v>133</v>
      </c>
      <c r="F76" s="81" t="s">
        <v>134</v>
      </c>
      <c r="G76" s="80" t="s">
        <v>31</v>
      </c>
      <c r="H76" s="43">
        <v>80000</v>
      </c>
      <c r="I76" s="43">
        <f>H76*2.87%</f>
        <v>2296</v>
      </c>
      <c r="J76" s="43">
        <f>H76*3.04%</f>
        <v>2432</v>
      </c>
      <c r="K76" s="43">
        <f t="shared" ref="K76:K77" si="52">H76-I76-J76</f>
        <v>75272</v>
      </c>
      <c r="L76" s="43">
        <v>7400.87</v>
      </c>
      <c r="M76" s="82"/>
      <c r="N76" s="54"/>
      <c r="O76" s="43">
        <v>25</v>
      </c>
      <c r="P76" s="62"/>
      <c r="Q76" s="43"/>
      <c r="R76" s="43"/>
      <c r="S76" s="78">
        <f t="shared" ref="S76:S77" si="53">I76+J76+L76+N76+O76+P76+Q76</f>
        <v>12153.869999999999</v>
      </c>
      <c r="T76" s="43">
        <f>H76-S76</f>
        <v>67846.13</v>
      </c>
    </row>
    <row r="77" spans="1:23" ht="48.6" customHeight="1" thickBot="1" x14ac:dyDescent="0.45">
      <c r="A77" s="37">
        <v>46</v>
      </c>
      <c r="B77" s="46">
        <v>44572</v>
      </c>
      <c r="C77" s="47">
        <v>46000</v>
      </c>
      <c r="D77" s="80" t="s">
        <v>28</v>
      </c>
      <c r="E77" s="48" t="s">
        <v>135</v>
      </c>
      <c r="F77" s="81" t="s">
        <v>136</v>
      </c>
      <c r="G77" s="80" t="s">
        <v>31</v>
      </c>
      <c r="H77" s="43">
        <v>120000</v>
      </c>
      <c r="I77" s="43">
        <f t="shared" ref="I77" si="54">H77*2.87%</f>
        <v>3444</v>
      </c>
      <c r="J77" s="43">
        <f t="shared" ref="J77" si="55">H77*3.04%</f>
        <v>3648</v>
      </c>
      <c r="K77" s="43">
        <f t="shared" si="52"/>
        <v>112908</v>
      </c>
      <c r="L77" s="43">
        <v>16809.87</v>
      </c>
      <c r="M77" s="82"/>
      <c r="N77" s="54"/>
      <c r="O77" s="43">
        <v>25</v>
      </c>
      <c r="P77" s="62"/>
      <c r="Q77" s="43"/>
      <c r="R77" s="54"/>
      <c r="S77" s="78">
        <f t="shared" si="53"/>
        <v>23926.87</v>
      </c>
      <c r="T77" s="43">
        <f t="shared" ref="T77" si="56">H77-S77</f>
        <v>96073.13</v>
      </c>
    </row>
    <row r="78" spans="1:23" ht="48.6" customHeight="1" thickBot="1" x14ac:dyDescent="0.45">
      <c r="A78" s="37"/>
      <c r="B78" s="51" t="s">
        <v>46</v>
      </c>
      <c r="C78" s="52"/>
      <c r="D78" s="52"/>
      <c r="E78" s="52"/>
      <c r="F78" s="53"/>
      <c r="G78" s="54"/>
      <c r="H78" s="55">
        <f>SUM(H75:H77)</f>
        <v>450000</v>
      </c>
      <c r="I78" s="55">
        <f t="shared" ref="I78:T78" si="57">SUM(I75:I77)</f>
        <v>12915</v>
      </c>
      <c r="J78" s="55">
        <f>SUM(J75:J77)</f>
        <v>13139.792000000001</v>
      </c>
      <c r="K78" s="55">
        <f t="shared" si="57"/>
        <v>423945.20799999998</v>
      </c>
      <c r="L78" s="55">
        <f t="shared" si="57"/>
        <v>71734.91</v>
      </c>
      <c r="M78" s="55">
        <f t="shared" si="57"/>
        <v>0</v>
      </c>
      <c r="N78" s="55">
        <f t="shared" si="57"/>
        <v>0</v>
      </c>
      <c r="O78" s="55">
        <f t="shared" si="57"/>
        <v>75</v>
      </c>
      <c r="P78" s="55">
        <f t="shared" si="57"/>
        <v>0</v>
      </c>
      <c r="Q78" s="55">
        <f t="shared" si="57"/>
        <v>0</v>
      </c>
      <c r="R78" s="55">
        <f t="shared" si="57"/>
        <v>0</v>
      </c>
      <c r="S78" s="55">
        <f t="shared" si="57"/>
        <v>97864.70199999999</v>
      </c>
      <c r="T78" s="55">
        <f t="shared" si="57"/>
        <v>352135.29800000001</v>
      </c>
    </row>
    <row r="79" spans="1:23" ht="48.6" customHeight="1" thickBot="1" x14ac:dyDescent="0.45">
      <c r="A79" s="37"/>
      <c r="B79" s="38" t="s">
        <v>137</v>
      </c>
      <c r="C79" s="39"/>
      <c r="D79" s="39"/>
      <c r="E79" s="39"/>
      <c r="F79" s="53"/>
      <c r="G79" s="5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54"/>
    </row>
    <row r="80" spans="1:23" ht="54.75" customHeight="1" thickBot="1" x14ac:dyDescent="0.45">
      <c r="A80" s="37">
        <v>47</v>
      </c>
      <c r="B80" s="46" t="s">
        <v>138</v>
      </c>
      <c r="C80" s="47" t="s">
        <v>139</v>
      </c>
      <c r="D80" s="47" t="s">
        <v>28</v>
      </c>
      <c r="E80" s="48" t="s">
        <v>140</v>
      </c>
      <c r="F80" s="48" t="s">
        <v>141</v>
      </c>
      <c r="G80" s="80" t="s">
        <v>31</v>
      </c>
      <c r="H80" s="43">
        <v>245000</v>
      </c>
      <c r="I80" s="82">
        <f t="shared" ref="I80:I85" si="58">H80*2.87%</f>
        <v>7031.5</v>
      </c>
      <c r="J80" s="43">
        <f>232230*3.04%</f>
        <v>7059.7920000000004</v>
      </c>
      <c r="K80" s="82">
        <f t="shared" ref="K80:K85" si="59">H80-I80-J80</f>
        <v>230908.70800000001</v>
      </c>
      <c r="L80" s="78">
        <v>46310.17</v>
      </c>
      <c r="M80" s="43"/>
      <c r="N80" s="43"/>
      <c r="O80" s="43">
        <v>25</v>
      </c>
      <c r="P80" s="43"/>
      <c r="Q80" s="83">
        <v>0</v>
      </c>
      <c r="R80" s="83"/>
      <c r="S80" s="78">
        <f>I80+J80+L80+N80+O80+P80+Q80</f>
        <v>60426.462</v>
      </c>
      <c r="T80" s="43">
        <f t="shared" ref="T80:T86" si="60">H80-S80</f>
        <v>184573.538</v>
      </c>
    </row>
    <row r="81" spans="1:23" ht="61.15" customHeight="1" thickBot="1" x14ac:dyDescent="0.45">
      <c r="A81" s="37">
        <v>48</v>
      </c>
      <c r="B81" s="46">
        <v>45023</v>
      </c>
      <c r="C81" s="46">
        <v>45664</v>
      </c>
      <c r="D81" s="47" t="s">
        <v>28</v>
      </c>
      <c r="E81" s="48" t="s">
        <v>142</v>
      </c>
      <c r="F81" s="84" t="s">
        <v>143</v>
      </c>
      <c r="G81" s="47" t="s">
        <v>31</v>
      </c>
      <c r="H81" s="43">
        <v>155000</v>
      </c>
      <c r="I81" s="82">
        <f t="shared" si="58"/>
        <v>4448.5</v>
      </c>
      <c r="J81" s="43">
        <f t="shared" ref="J81:J85" si="61">H81*3.04%</f>
        <v>4712</v>
      </c>
      <c r="K81" s="43">
        <f t="shared" si="59"/>
        <v>145839.5</v>
      </c>
      <c r="L81" s="78">
        <v>25042.74</v>
      </c>
      <c r="M81" s="43"/>
      <c r="N81" s="43"/>
      <c r="O81" s="43">
        <v>25</v>
      </c>
      <c r="P81" s="43"/>
      <c r="Q81" s="83">
        <v>0</v>
      </c>
      <c r="R81" s="78"/>
      <c r="S81" s="78">
        <f t="shared" ref="S81:S87" si="62">I81+J81+L81+N81+O81+P81+Q81</f>
        <v>34228.240000000005</v>
      </c>
      <c r="T81" s="43">
        <f t="shared" si="60"/>
        <v>120771.76</v>
      </c>
    </row>
    <row r="82" spans="1:23" ht="61.15" customHeight="1" thickBot="1" x14ac:dyDescent="0.45">
      <c r="A82" s="37">
        <v>49</v>
      </c>
      <c r="B82" s="46" t="s">
        <v>144</v>
      </c>
      <c r="C82" s="46">
        <v>45666</v>
      </c>
      <c r="D82" s="47" t="s">
        <v>28</v>
      </c>
      <c r="E82" s="48" t="s">
        <v>145</v>
      </c>
      <c r="F82" s="84" t="s">
        <v>146</v>
      </c>
      <c r="G82" s="47" t="s">
        <v>31</v>
      </c>
      <c r="H82" s="43">
        <v>25000</v>
      </c>
      <c r="I82" s="82">
        <f t="shared" si="58"/>
        <v>717.5</v>
      </c>
      <c r="J82" s="43">
        <f t="shared" si="61"/>
        <v>760</v>
      </c>
      <c r="K82" s="43">
        <f t="shared" si="59"/>
        <v>23522.5</v>
      </c>
      <c r="L82" s="82">
        <v>0</v>
      </c>
      <c r="M82" s="43"/>
      <c r="N82" s="43"/>
      <c r="O82" s="43">
        <v>25</v>
      </c>
      <c r="P82" s="43"/>
      <c r="Q82" s="83">
        <v>0</v>
      </c>
      <c r="R82" s="78"/>
      <c r="S82" s="78">
        <f t="shared" si="62"/>
        <v>1502.5</v>
      </c>
      <c r="T82" s="43">
        <f t="shared" si="60"/>
        <v>23497.5</v>
      </c>
    </row>
    <row r="83" spans="1:23" ht="61.15" customHeight="1" thickBot="1" x14ac:dyDescent="0.45">
      <c r="A83" s="37">
        <v>50</v>
      </c>
      <c r="B83" s="46">
        <v>45664</v>
      </c>
      <c r="C83" s="46">
        <v>46023</v>
      </c>
      <c r="D83" s="47" t="s">
        <v>36</v>
      </c>
      <c r="E83" s="48" t="s">
        <v>147</v>
      </c>
      <c r="F83" s="84" t="s">
        <v>148</v>
      </c>
      <c r="G83" s="47" t="s">
        <v>31</v>
      </c>
      <c r="H83" s="43">
        <v>80000</v>
      </c>
      <c r="I83" s="82">
        <f t="shared" si="58"/>
        <v>2296</v>
      </c>
      <c r="J83" s="43">
        <f t="shared" si="61"/>
        <v>2432</v>
      </c>
      <c r="K83" s="43">
        <f t="shared" si="59"/>
        <v>75272</v>
      </c>
      <c r="L83" s="82">
        <v>7400.87</v>
      </c>
      <c r="M83" s="43"/>
      <c r="N83" s="43"/>
      <c r="O83" s="43">
        <v>25</v>
      </c>
      <c r="P83" s="43"/>
      <c r="Q83" s="83">
        <v>0</v>
      </c>
      <c r="R83" s="78"/>
      <c r="S83" s="78">
        <f t="shared" si="62"/>
        <v>12153.869999999999</v>
      </c>
      <c r="T83" s="43">
        <f t="shared" si="60"/>
        <v>67846.13</v>
      </c>
    </row>
    <row r="84" spans="1:23" ht="61.15" customHeight="1" thickBot="1" x14ac:dyDescent="0.45">
      <c r="A84" s="37">
        <v>51</v>
      </c>
      <c r="B84" s="46">
        <v>45664</v>
      </c>
      <c r="C84" s="46">
        <v>46023</v>
      </c>
      <c r="D84" s="47" t="s">
        <v>36</v>
      </c>
      <c r="E84" s="48" t="s">
        <v>149</v>
      </c>
      <c r="F84" s="84" t="s">
        <v>150</v>
      </c>
      <c r="G84" s="47" t="s">
        <v>31</v>
      </c>
      <c r="H84" s="43">
        <v>56500</v>
      </c>
      <c r="I84" s="82">
        <f t="shared" si="58"/>
        <v>1621.55</v>
      </c>
      <c r="J84" s="43">
        <f t="shared" si="61"/>
        <v>1717.6</v>
      </c>
      <c r="K84" s="43">
        <f t="shared" si="59"/>
        <v>53160.85</v>
      </c>
      <c r="L84" s="82">
        <f>2828.05-2828.05</f>
        <v>0</v>
      </c>
      <c r="M84" s="43">
        <v>2828.05</v>
      </c>
      <c r="N84" s="43"/>
      <c r="O84" s="43">
        <v>25</v>
      </c>
      <c r="P84" s="43"/>
      <c r="Q84" s="78">
        <v>0</v>
      </c>
      <c r="R84" s="78"/>
      <c r="S84" s="78">
        <f t="shared" si="62"/>
        <v>3364.1499999999996</v>
      </c>
      <c r="T84" s="43">
        <f t="shared" si="60"/>
        <v>53135.85</v>
      </c>
    </row>
    <row r="85" spans="1:23" ht="61.15" customHeight="1" thickBot="1" x14ac:dyDescent="0.45">
      <c r="A85" s="37">
        <v>52</v>
      </c>
      <c r="B85" s="46">
        <v>46026</v>
      </c>
      <c r="C85" s="46">
        <v>46031</v>
      </c>
      <c r="D85" s="47" t="s">
        <v>36</v>
      </c>
      <c r="E85" s="48" t="s">
        <v>151</v>
      </c>
      <c r="F85" s="84" t="s">
        <v>150</v>
      </c>
      <c r="G85" s="47" t="s">
        <v>31</v>
      </c>
      <c r="H85" s="43">
        <v>50000</v>
      </c>
      <c r="I85" s="82">
        <f t="shared" si="58"/>
        <v>1435</v>
      </c>
      <c r="J85" s="43">
        <f t="shared" si="61"/>
        <v>1520</v>
      </c>
      <c r="K85" s="43">
        <f t="shared" si="59"/>
        <v>47045</v>
      </c>
      <c r="L85" s="82">
        <v>1854</v>
      </c>
      <c r="M85" s="43"/>
      <c r="N85" s="43"/>
      <c r="O85" s="43">
        <v>25</v>
      </c>
      <c r="P85" s="43"/>
      <c r="Q85" s="78">
        <v>0</v>
      </c>
      <c r="R85" s="78"/>
      <c r="S85" s="78">
        <f t="shared" si="62"/>
        <v>4834</v>
      </c>
      <c r="T85" s="43">
        <f t="shared" si="60"/>
        <v>45166</v>
      </c>
    </row>
    <row r="86" spans="1:23" ht="63.6" customHeight="1" thickBot="1" x14ac:dyDescent="0.45">
      <c r="A86" s="37">
        <v>53</v>
      </c>
      <c r="B86" s="46">
        <v>45662</v>
      </c>
      <c r="C86" s="46">
        <v>45668</v>
      </c>
      <c r="D86" s="47" t="s">
        <v>28</v>
      </c>
      <c r="E86" s="48" t="s">
        <v>152</v>
      </c>
      <c r="F86" s="84" t="s">
        <v>153</v>
      </c>
      <c r="G86" s="47" t="s">
        <v>31</v>
      </c>
      <c r="H86" s="43">
        <v>95000</v>
      </c>
      <c r="I86" s="82">
        <f>H86*2.87%</f>
        <v>2726.5</v>
      </c>
      <c r="J86" s="43">
        <f>H86*3.04%</f>
        <v>2888</v>
      </c>
      <c r="K86" s="43">
        <f>H86-I86-J86</f>
        <v>89385.5</v>
      </c>
      <c r="L86" s="82">
        <v>10929.24</v>
      </c>
      <c r="M86" s="43"/>
      <c r="N86" s="43"/>
      <c r="O86" s="43">
        <v>25</v>
      </c>
      <c r="P86" s="50"/>
      <c r="Q86" s="78">
        <v>0</v>
      </c>
      <c r="R86" s="85"/>
      <c r="S86" s="78">
        <f t="shared" si="62"/>
        <v>16568.739999999998</v>
      </c>
      <c r="T86" s="86">
        <f t="shared" si="60"/>
        <v>78431.260000000009</v>
      </c>
    </row>
    <row r="87" spans="1:23" ht="73.5" customHeight="1" thickBot="1" x14ac:dyDescent="0.45">
      <c r="A87" s="37">
        <v>54</v>
      </c>
      <c r="B87" s="46">
        <v>45666</v>
      </c>
      <c r="C87" s="46">
        <v>46024</v>
      </c>
      <c r="D87" s="47" t="s">
        <v>36</v>
      </c>
      <c r="E87" s="48" t="s">
        <v>154</v>
      </c>
      <c r="F87" s="81" t="s">
        <v>155</v>
      </c>
      <c r="G87" s="80" t="s">
        <v>31</v>
      </c>
      <c r="H87" s="43">
        <v>140000</v>
      </c>
      <c r="I87" s="82">
        <f>H87*2.87%</f>
        <v>4018</v>
      </c>
      <c r="J87" s="43">
        <f>H87*3.04%</f>
        <v>4256</v>
      </c>
      <c r="K87" s="43">
        <f>H87-I87-J87</f>
        <v>131726</v>
      </c>
      <c r="L87" s="82">
        <v>21514.44</v>
      </c>
      <c r="M87" s="43"/>
      <c r="N87" s="43"/>
      <c r="O87" s="43">
        <v>25</v>
      </c>
      <c r="P87" s="43"/>
      <c r="Q87" s="78">
        <v>0</v>
      </c>
      <c r="R87" s="78"/>
      <c r="S87" s="78">
        <f t="shared" si="62"/>
        <v>29813.439999999999</v>
      </c>
      <c r="T87" s="43">
        <f>H87-S87</f>
        <v>110186.56</v>
      </c>
    </row>
    <row r="88" spans="1:23" ht="48.6" customHeight="1" thickBot="1" x14ac:dyDescent="0.45">
      <c r="A88" s="74"/>
      <c r="B88" s="51" t="s">
        <v>46</v>
      </c>
      <c r="C88" s="52"/>
      <c r="D88" s="52"/>
      <c r="E88" s="52"/>
      <c r="F88" s="52"/>
      <c r="G88" s="52"/>
      <c r="H88" s="55">
        <f>SUM(H80:H87)</f>
        <v>846500</v>
      </c>
      <c r="I88" s="55">
        <f t="shared" ref="I88:T88" si="63">SUM(I80:I87)</f>
        <v>24294.55</v>
      </c>
      <c r="J88" s="55">
        <f>SUM(J80:J87)</f>
        <v>25345.392</v>
      </c>
      <c r="K88" s="55">
        <f t="shared" si="63"/>
        <v>796860.05799999996</v>
      </c>
      <c r="L88" s="55">
        <f t="shared" si="63"/>
        <v>113051.46</v>
      </c>
      <c r="M88" s="55">
        <f t="shared" si="63"/>
        <v>2828.05</v>
      </c>
      <c r="N88" s="55">
        <f t="shared" si="63"/>
        <v>0</v>
      </c>
      <c r="O88" s="55">
        <f t="shared" si="63"/>
        <v>200</v>
      </c>
      <c r="P88" s="55">
        <f t="shared" si="63"/>
        <v>0</v>
      </c>
      <c r="Q88" s="55">
        <f t="shared" si="63"/>
        <v>0</v>
      </c>
      <c r="R88" s="55">
        <f t="shared" si="63"/>
        <v>0</v>
      </c>
      <c r="S88" s="55">
        <f t="shared" si="63"/>
        <v>162891.402</v>
      </c>
      <c r="T88" s="55">
        <f t="shared" si="63"/>
        <v>683608.598</v>
      </c>
      <c r="U88" s="87"/>
      <c r="W88" s="88"/>
    </row>
    <row r="89" spans="1:23" ht="48.6" customHeight="1" thickBot="1" x14ac:dyDescent="0.45">
      <c r="A89" s="74"/>
      <c r="B89" s="38"/>
      <c r="C89" s="39"/>
      <c r="D89" s="39"/>
      <c r="E89" s="39"/>
      <c r="F89" s="53"/>
      <c r="G89" s="52"/>
      <c r="H89" s="54"/>
      <c r="I89" s="54"/>
      <c r="J89" s="54"/>
      <c r="K89" s="54"/>
      <c r="L89" s="54"/>
      <c r="M89" s="54"/>
      <c r="N89" s="54"/>
      <c r="O89" s="54"/>
      <c r="P89" s="54"/>
      <c r="Q89" s="58"/>
      <c r="R89" s="58"/>
      <c r="S89" s="58"/>
      <c r="T89" s="54"/>
    </row>
    <row r="90" spans="1:23" ht="48.6" customHeight="1" thickBot="1" x14ac:dyDescent="0.45">
      <c r="A90" s="37"/>
      <c r="B90" s="38" t="s">
        <v>156</v>
      </c>
      <c r="C90" s="39"/>
      <c r="D90" s="39"/>
      <c r="E90" s="39"/>
      <c r="F90" s="53"/>
      <c r="G90" s="5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54"/>
    </row>
    <row r="91" spans="1:23" ht="73.5" customHeight="1" thickBot="1" x14ac:dyDescent="0.45">
      <c r="A91" s="37">
        <v>55</v>
      </c>
      <c r="B91" s="46">
        <v>45666</v>
      </c>
      <c r="C91" s="46">
        <v>46024</v>
      </c>
      <c r="D91" s="47" t="s">
        <v>36</v>
      </c>
      <c r="E91" s="48" t="s">
        <v>157</v>
      </c>
      <c r="F91" s="81" t="s">
        <v>158</v>
      </c>
      <c r="G91" s="80" t="s">
        <v>31</v>
      </c>
      <c r="H91" s="43">
        <v>250000</v>
      </c>
      <c r="I91" s="82">
        <f>+H91*2.87%</f>
        <v>7175</v>
      </c>
      <c r="J91" s="43">
        <f>232230*3.04%</f>
        <v>7059.7920000000004</v>
      </c>
      <c r="K91" s="43">
        <f>H91-I91-J91</f>
        <v>235765.20800000001</v>
      </c>
      <c r="L91" s="82">
        <v>47524.17</v>
      </c>
      <c r="M91" s="43"/>
      <c r="N91" s="43"/>
      <c r="O91" s="43">
        <v>25</v>
      </c>
      <c r="P91" s="43"/>
      <c r="Q91" s="78"/>
      <c r="R91" s="78"/>
      <c r="S91" s="78">
        <f>I91+J91+L91+N91+O91+P91-R91</f>
        <v>61783.962</v>
      </c>
      <c r="T91" s="43">
        <f>H91-S91</f>
        <v>188216.038</v>
      </c>
    </row>
    <row r="92" spans="1:23" ht="59.25" customHeight="1" thickBot="1" x14ac:dyDescent="0.45">
      <c r="A92" s="37">
        <v>56</v>
      </c>
      <c r="B92" s="46">
        <v>45666</v>
      </c>
      <c r="C92" s="46">
        <v>46024</v>
      </c>
      <c r="D92" s="49" t="s">
        <v>28</v>
      </c>
      <c r="E92" s="42" t="s">
        <v>159</v>
      </c>
      <c r="F92" s="81" t="s">
        <v>160</v>
      </c>
      <c r="G92" s="49" t="s">
        <v>31</v>
      </c>
      <c r="H92" s="43">
        <v>128000</v>
      </c>
      <c r="I92" s="44">
        <f t="shared" ref="I92" si="64">H92*2.87%</f>
        <v>3673.6</v>
      </c>
      <c r="J92" s="44">
        <f t="shared" ref="J92" si="65">H92*3.04%</f>
        <v>3891.2</v>
      </c>
      <c r="K92" s="44">
        <f t="shared" ref="K92" si="66">H92-I92-J92</f>
        <v>120435.2</v>
      </c>
      <c r="L92" s="44">
        <f>18691.67-18691.67</f>
        <v>0</v>
      </c>
      <c r="M92" s="44">
        <v>18691.669999999998</v>
      </c>
      <c r="N92" s="44"/>
      <c r="O92" s="44">
        <v>25</v>
      </c>
      <c r="P92" s="44"/>
      <c r="Q92" s="44">
        <v>0</v>
      </c>
      <c r="R92" s="44">
        <v>0</v>
      </c>
      <c r="S92" s="78">
        <f t="shared" ref="S92:S93" si="67">I92+J92+L92+N92+O92+P92-R92</f>
        <v>7589.7999999999993</v>
      </c>
      <c r="T92" s="43">
        <f>H92-S92</f>
        <v>120410.2</v>
      </c>
    </row>
    <row r="93" spans="1:23" ht="63.6" customHeight="1" thickBot="1" x14ac:dyDescent="0.45">
      <c r="A93" s="37">
        <v>57</v>
      </c>
      <c r="B93" s="46">
        <v>45666</v>
      </c>
      <c r="C93" s="46">
        <v>46024</v>
      </c>
      <c r="D93" s="47" t="s">
        <v>28</v>
      </c>
      <c r="E93" s="48" t="s">
        <v>161</v>
      </c>
      <c r="F93" s="84" t="s">
        <v>162</v>
      </c>
      <c r="G93" s="47" t="s">
        <v>31</v>
      </c>
      <c r="H93" s="43">
        <v>75000</v>
      </c>
      <c r="I93" s="82">
        <f>H93*2.87%</f>
        <v>2152.5</v>
      </c>
      <c r="J93" s="43">
        <f>H93*3.04%</f>
        <v>2280</v>
      </c>
      <c r="K93" s="43">
        <f>H93-I93-J93</f>
        <v>70567.5</v>
      </c>
      <c r="L93" s="82">
        <f>6309.38-6309.38</f>
        <v>0</v>
      </c>
      <c r="M93" s="43">
        <v>6309.38</v>
      </c>
      <c r="N93" s="43"/>
      <c r="O93" s="43">
        <v>25</v>
      </c>
      <c r="P93" s="50"/>
      <c r="Q93" s="78">
        <v>0</v>
      </c>
      <c r="R93" s="85"/>
      <c r="S93" s="78">
        <f t="shared" si="67"/>
        <v>4457.5</v>
      </c>
      <c r="T93" s="43">
        <f t="shared" ref="T93" si="68">H93-S93</f>
        <v>70542.5</v>
      </c>
    </row>
    <row r="94" spans="1:23" ht="37.5" customHeight="1" thickBot="1" x14ac:dyDescent="0.45">
      <c r="A94" s="37"/>
      <c r="B94" s="46"/>
      <c r="C94" s="80"/>
      <c r="D94" s="89"/>
      <c r="E94" s="90"/>
      <c r="F94" s="42"/>
      <c r="G94" s="49"/>
      <c r="H94" s="55">
        <f>SUM(H91:H93)</f>
        <v>453000</v>
      </c>
      <c r="I94" s="55">
        <f t="shared" ref="I94:S94" si="69">SUM(I91:I93)</f>
        <v>13001.1</v>
      </c>
      <c r="J94" s="55">
        <f>SUM(J91:J93)</f>
        <v>13230.992</v>
      </c>
      <c r="K94" s="55">
        <f t="shared" si="69"/>
        <v>426767.908</v>
      </c>
      <c r="L94" s="55">
        <f>SUM(L91:L93)</f>
        <v>47524.17</v>
      </c>
      <c r="M94" s="55">
        <f t="shared" si="69"/>
        <v>25001.05</v>
      </c>
      <c r="N94" s="55">
        <f t="shared" si="69"/>
        <v>0</v>
      </c>
      <c r="O94" s="55">
        <f>SUM(O91:O93)</f>
        <v>75</v>
      </c>
      <c r="P94" s="55">
        <f t="shared" si="69"/>
        <v>0</v>
      </c>
      <c r="Q94" s="55">
        <f t="shared" si="69"/>
        <v>0</v>
      </c>
      <c r="R94" s="55">
        <f t="shared" si="69"/>
        <v>0</v>
      </c>
      <c r="S94" s="55">
        <f t="shared" si="69"/>
        <v>73831.262000000002</v>
      </c>
      <c r="T94" s="55">
        <f>SUM(T91:T93)</f>
        <v>379168.73800000001</v>
      </c>
    </row>
    <row r="95" spans="1:23" ht="63.6" customHeight="1" thickBot="1" x14ac:dyDescent="0.45">
      <c r="A95" s="37"/>
      <c r="B95" s="46"/>
      <c r="C95" s="46"/>
      <c r="D95" s="47"/>
      <c r="E95" s="48"/>
      <c r="F95" s="84"/>
      <c r="G95" s="80"/>
      <c r="H95" s="43"/>
      <c r="I95" s="82"/>
      <c r="J95" s="43"/>
      <c r="K95" s="43"/>
      <c r="L95" s="82"/>
      <c r="M95" s="43"/>
      <c r="N95" s="43"/>
      <c r="O95" s="43"/>
      <c r="P95" s="50"/>
      <c r="Q95" s="78"/>
      <c r="R95" s="85"/>
      <c r="S95" s="91"/>
      <c r="T95" s="86"/>
    </row>
    <row r="96" spans="1:23" ht="48.6" customHeight="1" thickBot="1" x14ac:dyDescent="0.45">
      <c r="A96" s="37"/>
      <c r="B96" s="38" t="s">
        <v>163</v>
      </c>
      <c r="C96" s="46"/>
      <c r="D96" s="39"/>
      <c r="E96" s="39"/>
      <c r="F96" s="53"/>
      <c r="G96" s="5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54"/>
    </row>
    <row r="97" spans="1:20" ht="73.5" customHeight="1" thickBot="1" x14ac:dyDescent="0.45">
      <c r="A97" s="37">
        <v>58</v>
      </c>
      <c r="B97" s="46">
        <v>45666</v>
      </c>
      <c r="C97" s="48">
        <v>46054</v>
      </c>
      <c r="D97" s="47" t="s">
        <v>36</v>
      </c>
      <c r="E97" s="48" t="s">
        <v>164</v>
      </c>
      <c r="F97" s="81" t="s">
        <v>165</v>
      </c>
      <c r="G97" s="80" t="s">
        <v>31</v>
      </c>
      <c r="H97" s="43">
        <v>225000</v>
      </c>
      <c r="I97" s="82">
        <f>+H97*2.87%</f>
        <v>6457.5</v>
      </c>
      <c r="J97" s="43">
        <f>H97*3.04%</f>
        <v>6840</v>
      </c>
      <c r="K97" s="43">
        <f>H97-I97-J97</f>
        <v>211702.5</v>
      </c>
      <c r="L97" s="82">
        <v>41508.49</v>
      </c>
      <c r="M97" s="43"/>
      <c r="N97" s="43"/>
      <c r="O97" s="43">
        <v>25</v>
      </c>
      <c r="P97" s="43"/>
      <c r="Q97" s="78"/>
      <c r="R97" s="78"/>
      <c r="S97" s="78">
        <f>I97+J97+L97+N97+O97+P97-R97</f>
        <v>54830.99</v>
      </c>
      <c r="T97" s="43">
        <f>H97-S97</f>
        <v>170169.01</v>
      </c>
    </row>
    <row r="98" spans="1:20" ht="37.5" customHeight="1" thickBot="1" x14ac:dyDescent="0.45">
      <c r="A98" s="37"/>
      <c r="B98" s="46"/>
      <c r="C98" s="46"/>
      <c r="D98" s="89"/>
      <c r="E98" s="90"/>
      <c r="F98" s="42"/>
      <c r="G98" s="49"/>
      <c r="H98" s="55">
        <f>SUM(H97)</f>
        <v>225000</v>
      </c>
      <c r="I98" s="55">
        <f t="shared" ref="I98:S98" si="70">SUM(I97)</f>
        <v>6457.5</v>
      </c>
      <c r="J98" s="55">
        <f>SUM(J97)</f>
        <v>6840</v>
      </c>
      <c r="K98" s="55">
        <f t="shared" si="70"/>
        <v>211702.5</v>
      </c>
      <c r="L98" s="55">
        <f t="shared" si="70"/>
        <v>41508.49</v>
      </c>
      <c r="M98" s="55">
        <f t="shared" si="70"/>
        <v>0</v>
      </c>
      <c r="N98" s="55">
        <f t="shared" si="70"/>
        <v>0</v>
      </c>
      <c r="O98" s="55">
        <f>SUM(O97)</f>
        <v>25</v>
      </c>
      <c r="P98" s="55">
        <f t="shared" si="70"/>
        <v>0</v>
      </c>
      <c r="Q98" s="55">
        <f t="shared" si="70"/>
        <v>0</v>
      </c>
      <c r="R98" s="55">
        <f t="shared" si="70"/>
        <v>0</v>
      </c>
      <c r="S98" s="55">
        <f t="shared" si="70"/>
        <v>54830.99</v>
      </c>
      <c r="T98" s="55">
        <f>SUM(T97)</f>
        <v>170169.01</v>
      </c>
    </row>
    <row r="99" spans="1:20" ht="48.6" customHeight="1" thickBot="1" x14ac:dyDescent="0.45">
      <c r="A99" s="37"/>
      <c r="B99" s="38" t="s">
        <v>166</v>
      </c>
      <c r="C99" s="80"/>
      <c r="D99" s="39"/>
      <c r="E99" s="40"/>
      <c r="F99" s="42"/>
      <c r="G99" s="92"/>
      <c r="H99" s="93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5"/>
    </row>
    <row r="100" spans="1:20" ht="48" customHeight="1" thickBot="1" x14ac:dyDescent="0.45">
      <c r="A100" s="37">
        <v>59</v>
      </c>
      <c r="B100" s="46">
        <v>44202</v>
      </c>
      <c r="C100" s="96">
        <v>46265</v>
      </c>
      <c r="D100" s="49" t="s">
        <v>36</v>
      </c>
      <c r="E100" s="42" t="s">
        <v>167</v>
      </c>
      <c r="F100" s="73" t="s">
        <v>168</v>
      </c>
      <c r="G100" s="49" t="s">
        <v>31</v>
      </c>
      <c r="H100" s="43">
        <v>225000</v>
      </c>
      <c r="I100" s="44">
        <f>+H100*2.87%</f>
        <v>6457.5</v>
      </c>
      <c r="J100" s="44">
        <f>H100*3.04%</f>
        <v>6840</v>
      </c>
      <c r="K100" s="44">
        <f>H100-I100-J100</f>
        <v>211702.5</v>
      </c>
      <c r="L100" s="44">
        <v>41028.550000000003</v>
      </c>
      <c r="M100" s="44"/>
      <c r="N100" s="44">
        <v>1919.78</v>
      </c>
      <c r="O100" s="44">
        <v>25</v>
      </c>
      <c r="P100" s="44">
        <v>28638.04</v>
      </c>
      <c r="Q100" s="44">
        <v>0</v>
      </c>
      <c r="R100" s="44"/>
      <c r="S100" s="44">
        <f>I100+J100+L100+P100+O100+N100-R100+Q100</f>
        <v>84908.87</v>
      </c>
      <c r="T100" s="44">
        <f t="shared" ref="T100:T101" si="71">H100-S100</f>
        <v>140091.13</v>
      </c>
    </row>
    <row r="101" spans="1:20" ht="69" customHeight="1" thickBot="1" x14ac:dyDescent="0.45">
      <c r="A101" s="37">
        <v>60</v>
      </c>
      <c r="B101" s="47">
        <v>44958</v>
      </c>
      <c r="C101" s="47">
        <v>45664</v>
      </c>
      <c r="D101" s="49" t="s">
        <v>28</v>
      </c>
      <c r="E101" s="90" t="s">
        <v>169</v>
      </c>
      <c r="F101" s="97" t="s">
        <v>170</v>
      </c>
      <c r="G101" s="98" t="s">
        <v>31</v>
      </c>
      <c r="H101" s="43">
        <v>150000</v>
      </c>
      <c r="I101" s="43">
        <f t="shared" ref="I101" si="72">+H101*2.87%</f>
        <v>4305</v>
      </c>
      <c r="J101" s="43">
        <f t="shared" ref="J101:J104" si="73">H101*3.04%</f>
        <v>4560</v>
      </c>
      <c r="K101" s="43">
        <f t="shared" ref="K101:K104" si="74">H101-I101-J101</f>
        <v>141135</v>
      </c>
      <c r="L101" s="50">
        <v>23866.62</v>
      </c>
      <c r="M101" s="50"/>
      <c r="N101" s="50"/>
      <c r="O101" s="50">
        <v>25</v>
      </c>
      <c r="P101" s="50"/>
      <c r="Q101" s="85"/>
      <c r="R101" s="85"/>
      <c r="S101" s="91">
        <f>I101+J101+L101+P101+O101+N101-R101+Q101</f>
        <v>32756.62</v>
      </c>
      <c r="T101" s="99">
        <f t="shared" si="71"/>
        <v>117243.38</v>
      </c>
    </row>
    <row r="102" spans="1:20" ht="63.6" customHeight="1" thickBot="1" x14ac:dyDescent="0.45">
      <c r="A102" s="37">
        <v>61</v>
      </c>
      <c r="B102" s="46">
        <v>45295</v>
      </c>
      <c r="C102" s="46">
        <v>45668</v>
      </c>
      <c r="D102" s="47" t="s">
        <v>28</v>
      </c>
      <c r="E102" s="48" t="s">
        <v>171</v>
      </c>
      <c r="F102" s="84" t="s">
        <v>172</v>
      </c>
      <c r="G102" s="47" t="s">
        <v>31</v>
      </c>
      <c r="H102" s="43">
        <v>85000</v>
      </c>
      <c r="I102" s="82">
        <f t="shared" ref="I102:I104" si="75">H102*2.87%</f>
        <v>2439.5</v>
      </c>
      <c r="J102" s="43">
        <f t="shared" si="73"/>
        <v>2584</v>
      </c>
      <c r="K102" s="43">
        <f t="shared" si="74"/>
        <v>79976.5</v>
      </c>
      <c r="L102" s="82">
        <v>8576.99</v>
      </c>
      <c r="M102" s="43"/>
      <c r="N102" s="43"/>
      <c r="O102" s="43">
        <v>25</v>
      </c>
      <c r="P102" s="50"/>
      <c r="Q102" s="85"/>
      <c r="R102" s="85"/>
      <c r="S102" s="91">
        <f t="shared" ref="S102:S104" si="76">I102+J102+L102+P102+O102+N102-R102+Q102</f>
        <v>13625.49</v>
      </c>
      <c r="T102" s="99">
        <f>H102-S102</f>
        <v>71374.509999999995</v>
      </c>
    </row>
    <row r="103" spans="1:20" ht="63.6" customHeight="1" thickBot="1" x14ac:dyDescent="0.45">
      <c r="A103" s="37">
        <v>62</v>
      </c>
      <c r="B103" s="46">
        <v>45662</v>
      </c>
      <c r="C103" s="46">
        <v>45668</v>
      </c>
      <c r="D103" s="47" t="s">
        <v>28</v>
      </c>
      <c r="E103" s="48" t="s">
        <v>173</v>
      </c>
      <c r="F103" s="84" t="s">
        <v>174</v>
      </c>
      <c r="G103" s="47" t="s">
        <v>31</v>
      </c>
      <c r="H103" s="43">
        <v>125000</v>
      </c>
      <c r="I103" s="82">
        <f t="shared" si="75"/>
        <v>3587.5</v>
      </c>
      <c r="J103" s="43">
        <f t="shared" si="73"/>
        <v>3800</v>
      </c>
      <c r="K103" s="43">
        <f t="shared" si="74"/>
        <v>117612.5</v>
      </c>
      <c r="L103" s="82">
        <f>17985.99-17985.99</f>
        <v>0</v>
      </c>
      <c r="M103" s="43">
        <v>17985.990000000002</v>
      </c>
      <c r="N103" s="43"/>
      <c r="O103" s="43">
        <v>25</v>
      </c>
      <c r="P103" s="50"/>
      <c r="Q103" s="85"/>
      <c r="R103" s="85"/>
      <c r="S103" s="91">
        <f t="shared" si="76"/>
        <v>7412.5</v>
      </c>
      <c r="T103" s="99">
        <f>H103-S103</f>
        <v>117587.5</v>
      </c>
    </row>
    <row r="104" spans="1:20" ht="63.6" customHeight="1" thickBot="1" x14ac:dyDescent="0.45">
      <c r="A104" s="37">
        <v>63</v>
      </c>
      <c r="B104" s="46">
        <v>45663</v>
      </c>
      <c r="C104" s="46">
        <v>45669</v>
      </c>
      <c r="D104" s="47" t="s">
        <v>28</v>
      </c>
      <c r="E104" s="48" t="s">
        <v>175</v>
      </c>
      <c r="F104" s="84" t="s">
        <v>176</v>
      </c>
      <c r="G104" s="47" t="s">
        <v>31</v>
      </c>
      <c r="H104" s="43">
        <v>165000</v>
      </c>
      <c r="I104" s="82">
        <f t="shared" si="75"/>
        <v>4735.5</v>
      </c>
      <c r="J104" s="43">
        <f t="shared" si="73"/>
        <v>5016</v>
      </c>
      <c r="K104" s="43">
        <f t="shared" si="74"/>
        <v>155248.5</v>
      </c>
      <c r="L104" s="82">
        <v>27395.06</v>
      </c>
      <c r="M104" s="43"/>
      <c r="N104" s="43"/>
      <c r="O104" s="43">
        <v>25</v>
      </c>
      <c r="P104" s="50"/>
      <c r="Q104" s="85"/>
      <c r="R104" s="85"/>
      <c r="S104" s="91">
        <f t="shared" si="76"/>
        <v>37171.56</v>
      </c>
      <c r="T104" s="99">
        <f>H104-S104</f>
        <v>127828.44</v>
      </c>
    </row>
    <row r="105" spans="1:20" ht="48" customHeight="1" thickBot="1" x14ac:dyDescent="0.45">
      <c r="A105" s="37"/>
      <c r="B105" s="51" t="s">
        <v>46</v>
      </c>
      <c r="C105" s="52"/>
      <c r="D105" s="52"/>
      <c r="E105" s="52"/>
      <c r="F105" s="53"/>
      <c r="G105" s="42"/>
      <c r="H105" s="55">
        <f t="shared" ref="H105:T105" si="77">SUM(H100:H104)</f>
        <v>750000</v>
      </c>
      <c r="I105" s="55">
        <f t="shared" si="77"/>
        <v>21525</v>
      </c>
      <c r="J105" s="55">
        <f t="shared" si="77"/>
        <v>22800</v>
      </c>
      <c r="K105" s="55">
        <f t="shared" si="77"/>
        <v>705675</v>
      </c>
      <c r="L105" s="55">
        <f t="shared" si="77"/>
        <v>100867.22</v>
      </c>
      <c r="M105" s="55">
        <f t="shared" si="77"/>
        <v>17985.990000000002</v>
      </c>
      <c r="N105" s="55">
        <f t="shared" si="77"/>
        <v>1919.78</v>
      </c>
      <c r="O105" s="55">
        <f t="shared" si="77"/>
        <v>125</v>
      </c>
      <c r="P105" s="55">
        <f t="shared" si="77"/>
        <v>28638.04</v>
      </c>
      <c r="Q105" s="55">
        <f t="shared" si="77"/>
        <v>0</v>
      </c>
      <c r="R105" s="55">
        <f t="shared" si="77"/>
        <v>0</v>
      </c>
      <c r="S105" s="55">
        <f t="shared" si="77"/>
        <v>175875.03999999998</v>
      </c>
      <c r="T105" s="55">
        <f t="shared" si="77"/>
        <v>574124.96</v>
      </c>
    </row>
    <row r="106" spans="1:20" ht="37.5" customHeight="1" thickBot="1" x14ac:dyDescent="0.45">
      <c r="A106" s="149"/>
      <c r="B106" s="100"/>
      <c r="C106" s="101"/>
      <c r="D106" s="101"/>
      <c r="E106" s="101"/>
      <c r="F106" s="102"/>
      <c r="G106" s="42"/>
      <c r="H106" s="43"/>
      <c r="I106" s="50"/>
      <c r="J106" s="50"/>
      <c r="K106" s="50"/>
      <c r="L106" s="50"/>
      <c r="M106" s="50"/>
      <c r="N106" s="50"/>
      <c r="O106" s="50"/>
      <c r="P106" s="50"/>
      <c r="Q106" s="85"/>
      <c r="R106" s="85"/>
      <c r="S106" s="85"/>
      <c r="T106" s="50"/>
    </row>
    <row r="107" spans="1:20" ht="37.5" customHeight="1" thickBot="1" x14ac:dyDescent="0.45">
      <c r="A107" s="150"/>
      <c r="B107" s="103"/>
      <c r="C107" s="104"/>
      <c r="D107" s="104"/>
      <c r="E107" s="104"/>
      <c r="F107" s="105"/>
      <c r="G107" s="42"/>
      <c r="H107" s="43"/>
      <c r="I107" s="50"/>
      <c r="J107" s="50"/>
      <c r="K107" s="50"/>
      <c r="L107" s="50"/>
      <c r="M107" s="50"/>
      <c r="N107" s="50"/>
      <c r="O107" s="50"/>
      <c r="P107" s="50"/>
      <c r="Q107" s="85"/>
      <c r="R107" s="85"/>
      <c r="S107" s="85"/>
      <c r="T107" s="50"/>
    </row>
    <row r="108" spans="1:20" ht="48.6" customHeight="1" thickBot="1" x14ac:dyDescent="0.45">
      <c r="A108" s="37"/>
      <c r="B108" s="51" t="s">
        <v>177</v>
      </c>
      <c r="C108" s="52"/>
      <c r="D108" s="52"/>
      <c r="E108" s="52"/>
      <c r="F108" s="53"/>
      <c r="G108" s="42"/>
      <c r="H108" s="55">
        <f>+H14+H20+H31+H37+H44+H54+H58+H61+H68+H73+H78+H88+H94+H98+H105</f>
        <v>7426500</v>
      </c>
      <c r="I108" s="55">
        <f t="shared" ref="I108:T108" si="78">+I14+I20+I31+I37+I44+I54+I58+I61+I68+I73+I78+I88+I94+I98+I105</f>
        <v>213140.55</v>
      </c>
      <c r="J108" s="55">
        <f t="shared" si="78"/>
        <v>223756.76800000001</v>
      </c>
      <c r="K108" s="55">
        <f t="shared" si="78"/>
        <v>6989602.682</v>
      </c>
      <c r="L108" s="55">
        <f t="shared" si="78"/>
        <v>974521.74</v>
      </c>
      <c r="M108" s="55">
        <f t="shared" si="78"/>
        <v>75707.290000000008</v>
      </c>
      <c r="N108" s="55">
        <f t="shared" si="78"/>
        <v>15358.25</v>
      </c>
      <c r="O108" s="55">
        <f t="shared" si="78"/>
        <v>1575</v>
      </c>
      <c r="P108" s="55">
        <f t="shared" si="78"/>
        <v>34353.770000000004</v>
      </c>
      <c r="Q108" s="55">
        <f t="shared" si="78"/>
        <v>0</v>
      </c>
      <c r="R108" s="55">
        <f t="shared" si="78"/>
        <v>0</v>
      </c>
      <c r="S108" s="55">
        <f t="shared" si="78"/>
        <v>1462706.0780000002</v>
      </c>
      <c r="T108" s="55">
        <f t="shared" si="78"/>
        <v>5963793.9219999993</v>
      </c>
    </row>
    <row r="109" spans="1:20" ht="37.5" customHeight="1" x14ac:dyDescent="0.35">
      <c r="D109" s="5"/>
      <c r="E109" s="106"/>
      <c r="F109" s="5"/>
      <c r="G109" s="5"/>
      <c r="H109" s="107"/>
      <c r="I109" s="108"/>
      <c r="J109" s="107"/>
      <c r="K109" s="5"/>
      <c r="L109" s="109"/>
      <c r="M109" s="5"/>
      <c r="N109" s="5"/>
      <c r="O109" s="5"/>
      <c r="P109" s="110"/>
      <c r="Q109" s="110"/>
      <c r="R109" s="110"/>
      <c r="S109" s="5"/>
      <c r="T109" s="111"/>
    </row>
    <row r="110" spans="1:20" ht="37.5" customHeight="1" x14ac:dyDescent="0.35">
      <c r="D110" s="5"/>
      <c r="E110" s="5"/>
      <c r="F110" s="5"/>
      <c r="G110" s="5"/>
      <c r="H110" s="107"/>
      <c r="I110" s="108"/>
      <c r="J110" s="107"/>
      <c r="K110" s="5"/>
      <c r="L110" s="109"/>
      <c r="M110" s="5"/>
      <c r="N110" s="5"/>
      <c r="O110" s="5"/>
      <c r="P110" s="110"/>
      <c r="Q110" s="110"/>
      <c r="R110" s="110"/>
      <c r="S110" s="5"/>
      <c r="T110" s="107"/>
    </row>
    <row r="111" spans="1:20" ht="37.5" customHeight="1" x14ac:dyDescent="0.35">
      <c r="D111" s="5"/>
      <c r="E111" s="5"/>
      <c r="F111" s="5"/>
      <c r="G111" s="5"/>
      <c r="H111" s="107"/>
      <c r="I111" s="108"/>
      <c r="J111" s="107"/>
      <c r="K111" s="5"/>
      <c r="L111" s="109"/>
      <c r="M111" s="5"/>
      <c r="N111" s="5"/>
      <c r="O111" s="5"/>
      <c r="P111" s="110"/>
      <c r="Q111" s="110"/>
      <c r="R111" s="110"/>
      <c r="S111" s="5"/>
      <c r="T111" s="107"/>
    </row>
    <row r="112" spans="1:20" ht="37.5" customHeight="1" x14ac:dyDescent="0.4">
      <c r="D112" s="5"/>
      <c r="E112" s="5"/>
      <c r="F112" s="112"/>
      <c r="G112" s="113"/>
      <c r="H112" s="5"/>
      <c r="I112" s="5"/>
      <c r="J112" s="159" t="s">
        <v>37</v>
      </c>
      <c r="K112" s="159"/>
      <c r="L112" s="159"/>
      <c r="M112" s="5"/>
      <c r="N112" s="5"/>
      <c r="O112" s="5"/>
      <c r="P112" s="110"/>
      <c r="Q112" s="110"/>
      <c r="R112" s="110"/>
      <c r="S112" s="5"/>
      <c r="T112" s="115"/>
    </row>
    <row r="113" spans="4:21" ht="37.5" customHeight="1" x14ac:dyDescent="0.4">
      <c r="D113" s="5"/>
      <c r="E113" s="5"/>
      <c r="F113" s="112"/>
      <c r="G113" s="15"/>
      <c r="H113" s="5"/>
      <c r="I113" s="5"/>
      <c r="J113" s="6" t="s">
        <v>178</v>
      </c>
      <c r="K113" s="5"/>
      <c r="L113" s="114"/>
      <c r="M113" s="5"/>
      <c r="N113" s="5"/>
      <c r="O113" s="5"/>
      <c r="P113" s="110"/>
      <c r="Q113" s="110"/>
      <c r="R113" s="110"/>
      <c r="S113" s="116"/>
      <c r="T113" s="115"/>
      <c r="U113" s="117"/>
    </row>
    <row r="114" spans="4:21" ht="37.5" customHeight="1" x14ac:dyDescent="0.7">
      <c r="D114" s="5"/>
      <c r="E114" s="27"/>
      <c r="F114" s="112"/>
      <c r="G114" s="56"/>
      <c r="H114" s="25"/>
      <c r="I114" s="25"/>
      <c r="J114" s="25"/>
      <c r="K114" s="25"/>
      <c r="L114" s="114"/>
      <c r="M114" s="25"/>
      <c r="N114" s="25"/>
      <c r="O114" s="25"/>
      <c r="P114" s="25"/>
      <c r="Q114" s="25"/>
      <c r="R114" s="25"/>
      <c r="S114" s="118"/>
      <c r="T114" s="119"/>
      <c r="U114" s="120"/>
    </row>
    <row r="115" spans="4:21" ht="37.5" customHeight="1" x14ac:dyDescent="0.45">
      <c r="D115" s="5"/>
      <c r="F115" s="112"/>
      <c r="G115" s="121"/>
      <c r="H115" s="24"/>
      <c r="I115" s="151"/>
      <c r="J115" s="151"/>
      <c r="K115" s="151"/>
      <c r="L115" s="122"/>
      <c r="M115" s="123"/>
      <c r="N115" s="123"/>
      <c r="O115" s="123"/>
      <c r="P115" s="124"/>
      <c r="Q115" s="124"/>
      <c r="R115" s="124"/>
      <c r="S115" s="5"/>
      <c r="T115" s="125"/>
    </row>
    <row r="116" spans="4:21" ht="37.5" customHeight="1" x14ac:dyDescent="0.4">
      <c r="D116" s="5"/>
      <c r="F116" s="126"/>
      <c r="G116" s="127"/>
      <c r="H116" s="5"/>
      <c r="I116" s="5"/>
      <c r="J116" s="6"/>
      <c r="K116" s="5"/>
      <c r="L116" s="128"/>
      <c r="M116" s="5"/>
      <c r="N116" s="5"/>
      <c r="O116" s="5"/>
      <c r="P116" s="124"/>
      <c r="Q116" s="124"/>
      <c r="R116" s="124"/>
      <c r="S116" s="5"/>
      <c r="T116" s="129"/>
    </row>
    <row r="117" spans="4:21" ht="37.5" customHeight="1" x14ac:dyDescent="0.35">
      <c r="E117" s="130"/>
      <c r="F117" s="131"/>
      <c r="G117" s="132"/>
      <c r="H117" s="130"/>
      <c r="I117" s="133"/>
      <c r="J117" s="133"/>
      <c r="K117" s="133"/>
      <c r="L117" s="134"/>
      <c r="M117" s="135"/>
      <c r="N117" s="136"/>
      <c r="O117" s="137"/>
      <c r="P117" s="5"/>
      <c r="Q117" s="5"/>
      <c r="R117" s="5"/>
      <c r="S117" s="5"/>
      <c r="T117" s="5"/>
    </row>
    <row r="118" spans="4:21" ht="37.5" customHeight="1" x14ac:dyDescent="0.4">
      <c r="D118" s="138"/>
      <c r="E118" s="139"/>
      <c r="F118" s="140"/>
      <c r="G118" s="141"/>
      <c r="H118" s="142"/>
      <c r="J118" s="143"/>
      <c r="K118" s="144"/>
    </row>
    <row r="128" spans="4:21" s="145" customFormat="1" ht="36" customHeight="1" x14ac:dyDescent="0.35"/>
    <row r="129" s="145" customFormat="1" ht="36" customHeight="1" x14ac:dyDescent="0.35"/>
    <row r="130" s="145" customFormat="1" ht="36" customHeight="1" x14ac:dyDescent="0.35"/>
  </sheetData>
  <mergeCells count="22">
    <mergeCell ref="B44:F44"/>
    <mergeCell ref="I9:J9"/>
    <mergeCell ref="K9:P9"/>
    <mergeCell ref="B11:E11"/>
    <mergeCell ref="B14:F14"/>
    <mergeCell ref="B15:E15"/>
    <mergeCell ref="B20:F20"/>
    <mergeCell ref="B21:E21"/>
    <mergeCell ref="B31:F31"/>
    <mergeCell ref="B32:E32"/>
    <mergeCell ref="B37:F37"/>
    <mergeCell ref="B38:E38"/>
    <mergeCell ref="B62:E62"/>
    <mergeCell ref="A106:A107"/>
    <mergeCell ref="I115:K115"/>
    <mergeCell ref="B45:E45"/>
    <mergeCell ref="B54:F54"/>
    <mergeCell ref="B55:E55"/>
    <mergeCell ref="B58:F58"/>
    <mergeCell ref="B59:E59"/>
    <mergeCell ref="B61:E61"/>
    <mergeCell ref="J112:L112"/>
  </mergeCells>
  <pageMargins left="0.25" right="0.25" top="0.75" bottom="0.75" header="0.3" footer="0.3"/>
  <pageSetup scale="1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 TEMPORALES JUNIO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Adames</dc:creator>
  <cp:lastModifiedBy>Laura De Luna</cp:lastModifiedBy>
  <cp:lastPrinted>2026-07-13T20:14:10Z</cp:lastPrinted>
  <dcterms:created xsi:type="dcterms:W3CDTF">2026-07-07T13:52:50Z</dcterms:created>
  <dcterms:modified xsi:type="dcterms:W3CDTF">2026-07-13T20:14:44Z</dcterms:modified>
</cp:coreProperties>
</file>